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8895" windowHeight="5505"/>
  </bookViews>
  <sheets>
    <sheet name="Calcul" sheetId="1" r:id="rId1"/>
    <sheet name="Graph" sheetId="2" r:id="rId2"/>
    <sheet name="Nouv, plan" sheetId="4" r:id="rId3"/>
  </sheets>
  <definedNames>
    <definedName name="solver_adj" localSheetId="2" hidden="1">'Nouv, plan'!$C$17:$H$17,'Nouv, plan'!$C$21:$H$21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'Nouv, plan'!$H$18</definedName>
    <definedName name="solver_lhs2" localSheetId="2" hidden="1">'Nouv, plan'!$C$16:$H$17</definedName>
    <definedName name="solver_lhs3" localSheetId="2" hidden="1">'Nouv, plan'!$C$21:$H$22</definedName>
    <definedName name="solver_lhs4" localSheetId="2" hidden="1">'Nouv, plan'!$C$24:$H$24</definedName>
    <definedName name="solver_lhs5" localSheetId="2" hidden="1">'Nouv, plan'!$I$28</definedName>
    <definedName name="solver_lin" localSheetId="2" hidden="1">2</definedName>
    <definedName name="solver_neg" localSheetId="2" hidden="1">2</definedName>
    <definedName name="solver_num" localSheetId="2" hidden="1">5</definedName>
    <definedName name="solver_nwt" localSheetId="2" hidden="1">1</definedName>
    <definedName name="solver_opt" localSheetId="2" hidden="1">'Nouv, plan'!$I$33</definedName>
    <definedName name="solver_pre" localSheetId="2" hidden="1">0.000001</definedName>
    <definedName name="solver_rel1" localSheetId="2" hidden="1">3</definedName>
    <definedName name="solver_rel2" localSheetId="2" hidden="1">3</definedName>
    <definedName name="solver_rel3" localSheetId="2" hidden="1">3</definedName>
    <definedName name="solver_rel4" localSheetId="2" hidden="1">1</definedName>
    <definedName name="solver_rel5" localSheetId="2" hidden="1">2</definedName>
    <definedName name="solver_rhs1" localSheetId="2" hidden="1">400</definedName>
    <definedName name="solver_rhs2" localSheetId="2" hidden="1">0</definedName>
    <definedName name="solver_rhs3" localSheetId="2" hidden="1">0</definedName>
    <definedName name="solver_rhs4" localSheetId="2" hidden="1">160</definedName>
    <definedName name="solver_rhs5" localSheetId="2" hidden="1">810000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C49" i="1"/>
  <c r="D49"/>
  <c r="H51"/>
  <c r="B51"/>
  <c r="C50"/>
  <c r="C63"/>
  <c r="C53"/>
  <c r="C54"/>
  <c r="B54"/>
  <c r="C62"/>
  <c r="I62"/>
  <c r="D7" i="2"/>
  <c r="D62" i="1"/>
  <c r="E62"/>
  <c r="F62"/>
  <c r="G62"/>
  <c r="H62"/>
  <c r="D15"/>
  <c r="E15"/>
  <c r="F15"/>
  <c r="I11"/>
  <c r="C31"/>
  <c r="B36"/>
  <c r="B32"/>
  <c r="I45"/>
  <c r="H15"/>
  <c r="D14"/>
  <c r="D17"/>
  <c r="D18"/>
  <c r="B15"/>
  <c r="C14"/>
  <c r="C17"/>
  <c r="D23"/>
  <c r="D25"/>
  <c r="D26"/>
  <c r="E14"/>
  <c r="E17"/>
  <c r="E18"/>
  <c r="E23"/>
  <c r="E25"/>
  <c r="E26"/>
  <c r="H25"/>
  <c r="H26"/>
  <c r="B18"/>
  <c r="C23"/>
  <c r="C25"/>
  <c r="C26"/>
  <c r="I27"/>
  <c r="C8" i="2"/>
  <c r="B8"/>
  <c r="D22" i="4"/>
  <c r="C22"/>
  <c r="D23"/>
  <c r="E22"/>
  <c r="E23"/>
  <c r="E26"/>
  <c r="F22"/>
  <c r="F23"/>
  <c r="G22"/>
  <c r="G23"/>
  <c r="G26"/>
  <c r="H22"/>
  <c r="H23"/>
  <c r="D16"/>
  <c r="D28"/>
  <c r="D29"/>
  <c r="C16"/>
  <c r="B18"/>
  <c r="C18"/>
  <c r="D32"/>
  <c r="E16"/>
  <c r="E28"/>
  <c r="E29"/>
  <c r="E32"/>
  <c r="F16"/>
  <c r="F28"/>
  <c r="F29"/>
  <c r="F32"/>
  <c r="G27"/>
  <c r="G16"/>
  <c r="G28"/>
  <c r="G29"/>
  <c r="I29"/>
  <c r="G32"/>
  <c r="H16"/>
  <c r="H28"/>
  <c r="H29"/>
  <c r="H32"/>
  <c r="C28"/>
  <c r="C29"/>
  <c r="C32"/>
  <c r="I32"/>
  <c r="C20"/>
  <c r="C24"/>
  <c r="D20"/>
  <c r="D24"/>
  <c r="E20"/>
  <c r="E24"/>
  <c r="F20"/>
  <c r="F24"/>
  <c r="G20"/>
  <c r="G24"/>
  <c r="H20"/>
  <c r="H24"/>
  <c r="I17"/>
  <c r="I16"/>
  <c r="D8"/>
  <c r="I13"/>
  <c r="I12"/>
  <c r="I11"/>
  <c r="D18"/>
  <c r="C30"/>
  <c r="C31"/>
  <c r="D26"/>
  <c r="D27"/>
  <c r="E19" i="1"/>
  <c r="E24"/>
  <c r="D24"/>
  <c r="F26" i="4"/>
  <c r="F27"/>
  <c r="C32" i="1"/>
  <c r="C43"/>
  <c r="C33"/>
  <c r="C44"/>
  <c r="C35"/>
  <c r="C41"/>
  <c r="D31"/>
  <c r="C55"/>
  <c r="C60"/>
  <c r="D59"/>
  <c r="D50"/>
  <c r="E49"/>
  <c r="D53"/>
  <c r="I24" i="4"/>
  <c r="I28"/>
  <c r="H26"/>
  <c r="H27"/>
  <c r="C18" i="1"/>
  <c r="F26"/>
  <c r="G15"/>
  <c r="F14"/>
  <c r="F25"/>
  <c r="I20" i="4"/>
  <c r="E27"/>
  <c r="C23"/>
  <c r="C61" i="1"/>
  <c r="C59"/>
  <c r="C26" i="4"/>
  <c r="C27"/>
  <c r="I27"/>
  <c r="G25" i="1"/>
  <c r="I25"/>
  <c r="B6" i="2"/>
  <c r="G26" i="1"/>
  <c r="H14"/>
  <c r="C19"/>
  <c r="C24"/>
  <c r="D54"/>
  <c r="D63"/>
  <c r="D61"/>
  <c r="C58"/>
  <c r="C57"/>
  <c r="D35"/>
  <c r="D36"/>
  <c r="E31"/>
  <c r="D41"/>
  <c r="D32"/>
  <c r="D43"/>
  <c r="D33"/>
  <c r="D44"/>
  <c r="C36"/>
  <c r="E21"/>
  <c r="E28"/>
  <c r="E22"/>
  <c r="F17"/>
  <c r="F23"/>
  <c r="E50"/>
  <c r="F49"/>
  <c r="E53"/>
  <c r="E54"/>
  <c r="E59"/>
  <c r="D31" i="4"/>
  <c r="D30"/>
  <c r="E18"/>
  <c r="D19" i="1"/>
  <c r="D33" i="4"/>
  <c r="G14" i="1"/>
  <c r="I26"/>
  <c r="B7" i="2"/>
  <c r="G23" i="1"/>
  <c r="G17"/>
  <c r="G18"/>
  <c r="E30" i="4"/>
  <c r="F18"/>
  <c r="E31"/>
  <c r="E55" i="1"/>
  <c r="E60"/>
  <c r="E63"/>
  <c r="E61"/>
  <c r="D37"/>
  <c r="D42"/>
  <c r="H17"/>
  <c r="H18"/>
  <c r="H23"/>
  <c r="I26" i="4"/>
  <c r="C33"/>
  <c r="I14" i="1"/>
  <c r="D22"/>
  <c r="D21"/>
  <c r="F59"/>
  <c r="F50"/>
  <c r="G49"/>
  <c r="F53"/>
  <c r="F54"/>
  <c r="F18"/>
  <c r="C37"/>
  <c r="C42"/>
  <c r="E41"/>
  <c r="E32"/>
  <c r="E43"/>
  <c r="E33"/>
  <c r="E44"/>
  <c r="E35"/>
  <c r="F31"/>
  <c r="C64"/>
  <c r="D60"/>
  <c r="D55"/>
  <c r="C21"/>
  <c r="C22"/>
  <c r="I23"/>
  <c r="B2" i="2"/>
  <c r="D57" i="1"/>
  <c r="D58"/>
  <c r="F19"/>
  <c r="F24"/>
  <c r="H19"/>
  <c r="H24"/>
  <c r="D40"/>
  <c r="D39"/>
  <c r="D46"/>
  <c r="F31" i="4"/>
  <c r="F30"/>
  <c r="F33"/>
  <c r="G18"/>
  <c r="G19" i="1"/>
  <c r="G24"/>
  <c r="C28"/>
  <c r="E36"/>
  <c r="F60"/>
  <c r="F55"/>
  <c r="F63"/>
  <c r="F61"/>
  <c r="E33" i="4"/>
  <c r="I17" i="1"/>
  <c r="D28"/>
  <c r="F35"/>
  <c r="F36"/>
  <c r="G31"/>
  <c r="F41"/>
  <c r="F32"/>
  <c r="F43"/>
  <c r="F33"/>
  <c r="F44"/>
  <c r="C40"/>
  <c r="C39"/>
  <c r="G50"/>
  <c r="H49"/>
  <c r="G53"/>
  <c r="G59"/>
  <c r="E58"/>
  <c r="E57"/>
  <c r="H50"/>
  <c r="H53"/>
  <c r="H54"/>
  <c r="C46"/>
  <c r="G41"/>
  <c r="G32"/>
  <c r="G43"/>
  <c r="G33"/>
  <c r="G44"/>
  <c r="G35"/>
  <c r="G36"/>
  <c r="H31"/>
  <c r="E37"/>
  <c r="E42"/>
  <c r="G21"/>
  <c r="G28"/>
  <c r="G22"/>
  <c r="G54"/>
  <c r="G63"/>
  <c r="G61"/>
  <c r="I50"/>
  <c r="F37"/>
  <c r="F42"/>
  <c r="F57"/>
  <c r="F58"/>
  <c r="G30" i="4"/>
  <c r="H18"/>
  <c r="G31"/>
  <c r="I19"/>
  <c r="H22" i="1"/>
  <c r="H21"/>
  <c r="H28"/>
  <c r="F22"/>
  <c r="I22"/>
  <c r="B4" i="2"/>
  <c r="F21" i="1"/>
  <c r="D64"/>
  <c r="I24"/>
  <c r="B5" i="2"/>
  <c r="E64" i="1"/>
  <c r="I49"/>
  <c r="F28"/>
  <c r="I28"/>
  <c r="B9" i="2"/>
  <c r="I21" i="1"/>
  <c r="B3" i="2"/>
  <c r="H31" i="4"/>
  <c r="H30"/>
  <c r="I18"/>
  <c r="G55" i="1"/>
  <c r="G60"/>
  <c r="E39"/>
  <c r="E40"/>
  <c r="G37"/>
  <c r="G42"/>
  <c r="H60"/>
  <c r="H55"/>
  <c r="H63"/>
  <c r="I63"/>
  <c r="D8" i="2"/>
  <c r="H61" i="1"/>
  <c r="F40"/>
  <c r="F39"/>
  <c r="H35"/>
  <c r="H41"/>
  <c r="H32"/>
  <c r="H43"/>
  <c r="I43"/>
  <c r="C6" i="2"/>
  <c r="H33" i="1"/>
  <c r="H44"/>
  <c r="I31"/>
  <c r="I31" i="4"/>
  <c r="G33"/>
  <c r="F64" i="1"/>
  <c r="I61"/>
  <c r="D6" i="2"/>
  <c r="I53" i="1"/>
  <c r="I44"/>
  <c r="C7" i="2"/>
  <c r="I41" i="1"/>
  <c r="C2" i="2"/>
  <c r="H59" i="1"/>
  <c r="I59"/>
  <c r="D2" i="2"/>
  <c r="H36" i="1"/>
  <c r="I35"/>
  <c r="G39"/>
  <c r="G46"/>
  <c r="G40"/>
  <c r="E46"/>
  <c r="G58"/>
  <c r="G57"/>
  <c r="H33" i="4"/>
  <c r="I30"/>
  <c r="I33"/>
  <c r="H57" i="1"/>
  <c r="H64"/>
  <c r="H58"/>
  <c r="F46"/>
  <c r="I60"/>
  <c r="D5" i="2"/>
  <c r="H37" i="1"/>
  <c r="H42"/>
  <c r="I42"/>
  <c r="C5" i="2"/>
  <c r="G64" i="1"/>
  <c r="I64"/>
  <c r="D9" i="2"/>
  <c r="I57" i="1"/>
  <c r="D3" i="2"/>
  <c r="I58" i="1"/>
  <c r="D4" i="2"/>
  <c r="H40" i="1"/>
  <c r="I40"/>
  <c r="C4" i="2"/>
  <c r="H39" i="1"/>
  <c r="H46"/>
  <c r="I46"/>
  <c r="C9" i="2"/>
  <c r="I39" i="1"/>
  <c r="C3" i="2"/>
</calcChain>
</file>

<file path=xl/sharedStrings.xml><?xml version="1.0" encoding="utf-8"?>
<sst xmlns="http://schemas.openxmlformats.org/spreadsheetml/2006/main" count="119" uniqueCount="48">
  <si>
    <t>C&amp;C-FR</t>
  </si>
  <si>
    <t>Nombre d'heures par mois</t>
  </si>
  <si>
    <t>Heures par unité</t>
  </si>
  <si>
    <t>Coût matière</t>
  </si>
  <si>
    <t>Coût de l'heure</t>
  </si>
  <si>
    <t>Coût de stockage</t>
  </si>
  <si>
    <t>Effectif initial</t>
  </si>
  <si>
    <t>Coût de rupture</t>
  </si>
  <si>
    <t>Coût d'embauche</t>
  </si>
  <si>
    <t>Stock initial</t>
  </si>
  <si>
    <t>Coût de licenciement</t>
  </si>
  <si>
    <t>Coût de sous-traitance</t>
  </si>
  <si>
    <t>Janvier</t>
  </si>
  <si>
    <t>Février</t>
  </si>
  <si>
    <t>Mars</t>
  </si>
  <si>
    <t>Avril</t>
  </si>
  <si>
    <t>Mai</t>
  </si>
  <si>
    <t>Juin</t>
  </si>
  <si>
    <t>Total</t>
  </si>
  <si>
    <t>Ventes</t>
  </si>
  <si>
    <t>Plan 1</t>
  </si>
  <si>
    <t>Production du besoin exact et variation des effectifs</t>
  </si>
  <si>
    <t>Production</t>
  </si>
  <si>
    <t>Stocks</t>
  </si>
  <si>
    <t>Heures nécessaires</t>
  </si>
  <si>
    <t>Effectifs nécessaires</t>
  </si>
  <si>
    <t>Variation de l'effectif</t>
  </si>
  <si>
    <t>Coûts d'embauche</t>
  </si>
  <si>
    <t>Coûts de licenciement</t>
  </si>
  <si>
    <t>Coût main-d'oeuvre</t>
  </si>
  <si>
    <t>COUT TOTAL</t>
  </si>
  <si>
    <t>Plan 2</t>
  </si>
  <si>
    <t>Production constante égale à la moyenne de la demande</t>
  </si>
  <si>
    <t>Ruptures</t>
  </si>
  <si>
    <t>Plan 3</t>
  </si>
  <si>
    <t>Production minimum et sous-traitance</t>
  </si>
  <si>
    <t>Sous-traitance</t>
  </si>
  <si>
    <t>Stock final</t>
  </si>
  <si>
    <t>P1</t>
  </si>
  <si>
    <t>P2</t>
  </si>
  <si>
    <t>P3</t>
  </si>
  <si>
    <t>en k€</t>
  </si>
  <si>
    <t>Nbre d'heures mensuel / Salarié</t>
  </si>
  <si>
    <t>Effectifs nécessaires net</t>
  </si>
  <si>
    <t>Effectifs nécessaires brut</t>
  </si>
  <si>
    <t>Nombre d'heures pour 6 mois</t>
  </si>
  <si>
    <t>Plan</t>
  </si>
  <si>
    <t>Production moyenne + sous-traitance</t>
  </si>
</sst>
</file>

<file path=xl/styles.xml><?xml version="1.0" encoding="utf-8"?>
<styleSheet xmlns="http://schemas.openxmlformats.org/spreadsheetml/2006/main">
  <numFmts count="3"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0.0"/>
  </numFmts>
  <fonts count="12">
    <font>
      <sz val="10"/>
      <name val="Arial"/>
    </font>
    <font>
      <sz val="10"/>
      <name val="Arial"/>
    </font>
    <font>
      <b/>
      <sz val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4" fillId="3" borderId="5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6" fillId="4" borderId="5" xfId="0" applyFont="1" applyFill="1" applyBorder="1"/>
    <xf numFmtId="0" fontId="9" fillId="4" borderId="5" xfId="0" applyFont="1" applyFill="1" applyBorder="1"/>
    <xf numFmtId="0" fontId="9" fillId="4" borderId="7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1" fillId="4" borderId="11" xfId="0" applyFont="1" applyFill="1" applyBorder="1"/>
    <xf numFmtId="0" fontId="6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0" fillId="5" borderId="0" xfId="0" applyFill="1"/>
    <xf numFmtId="0" fontId="9" fillId="5" borderId="12" xfId="0" applyFont="1" applyFill="1" applyBorder="1"/>
    <xf numFmtId="0" fontId="9" fillId="5" borderId="13" xfId="0" applyFont="1" applyFill="1" applyBorder="1"/>
    <xf numFmtId="0" fontId="0" fillId="5" borderId="13" xfId="0" applyFill="1" applyBorder="1"/>
    <xf numFmtId="0" fontId="9" fillId="5" borderId="14" xfId="0" applyFont="1" applyFill="1" applyBorder="1"/>
    <xf numFmtId="0" fontId="9" fillId="5" borderId="0" xfId="0" applyFont="1" applyFill="1" applyBorder="1"/>
    <xf numFmtId="0" fontId="0" fillId="5" borderId="0" xfId="0" applyFill="1" applyBorder="1"/>
    <xf numFmtId="0" fontId="9" fillId="5" borderId="15" xfId="0" applyFont="1" applyFill="1" applyBorder="1"/>
    <xf numFmtId="0" fontId="9" fillId="5" borderId="16" xfId="0" applyFont="1" applyFill="1" applyBorder="1"/>
    <xf numFmtId="0" fontId="0" fillId="5" borderId="16" xfId="0" applyFill="1" applyBorder="1"/>
    <xf numFmtId="0" fontId="8" fillId="5" borderId="0" xfId="0" applyFont="1" applyFill="1"/>
    <xf numFmtId="0" fontId="9" fillId="5" borderId="1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17" xfId="0" applyFont="1" applyFill="1" applyBorder="1"/>
    <xf numFmtId="1" fontId="9" fillId="5" borderId="18" xfId="0" applyNumberFormat="1" applyFont="1" applyFill="1" applyBorder="1"/>
    <xf numFmtId="1" fontId="7" fillId="5" borderId="0" xfId="0" applyNumberFormat="1" applyFont="1" applyFill="1"/>
    <xf numFmtId="0" fontId="9" fillId="5" borderId="18" xfId="0" applyNumberFormat="1" applyFont="1" applyFill="1" applyBorder="1"/>
    <xf numFmtId="2" fontId="9" fillId="5" borderId="18" xfId="1" applyNumberFormat="1" applyFont="1" applyFill="1" applyBorder="1"/>
    <xf numFmtId="172" fontId="9" fillId="5" borderId="18" xfId="0" applyNumberFormat="1" applyFont="1" applyFill="1" applyBorder="1"/>
    <xf numFmtId="0" fontId="9" fillId="5" borderId="18" xfId="2" applyNumberFormat="1" applyFont="1" applyFill="1" applyBorder="1"/>
    <xf numFmtId="1" fontId="9" fillId="5" borderId="18" xfId="2" applyNumberFormat="1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1" fontId="6" fillId="5" borderId="19" xfId="2" applyNumberFormat="1" applyFont="1" applyFill="1" applyBorder="1"/>
    <xf numFmtId="1" fontId="6" fillId="5" borderId="20" xfId="2" applyNumberFormat="1" applyFont="1" applyFill="1" applyBorder="1"/>
    <xf numFmtId="0" fontId="10" fillId="5" borderId="18" xfId="0" applyFont="1" applyFill="1" applyBorder="1"/>
    <xf numFmtId="0" fontId="10" fillId="5" borderId="11" xfId="0" applyFont="1" applyFill="1" applyBorder="1"/>
    <xf numFmtId="0" fontId="0" fillId="5" borderId="14" xfId="0" applyFill="1" applyBorder="1"/>
    <xf numFmtId="20" fontId="0" fillId="5" borderId="0" xfId="0" applyNumberFormat="1" applyFill="1"/>
    <xf numFmtId="0" fontId="2" fillId="5" borderId="0" xfId="0" applyFont="1" applyFill="1"/>
    <xf numFmtId="0" fontId="0" fillId="5" borderId="12" xfId="0" applyFill="1" applyBorder="1"/>
    <xf numFmtId="0" fontId="3" fillId="5" borderId="14" xfId="0" applyFont="1" applyFill="1" applyBorder="1"/>
    <xf numFmtId="0" fontId="3" fillId="5" borderId="0" xfId="0" applyFont="1" applyFill="1" applyBorder="1"/>
    <xf numFmtId="0" fontId="3" fillId="5" borderId="0" xfId="0" applyFont="1" applyFill="1"/>
    <xf numFmtId="0" fontId="3" fillId="5" borderId="15" xfId="0" applyFont="1" applyFill="1" applyBorder="1"/>
    <xf numFmtId="0" fontId="3" fillId="5" borderId="16" xfId="0" applyFont="1" applyFill="1" applyBorder="1"/>
    <xf numFmtId="0" fontId="0" fillId="5" borderId="17" xfId="0" applyFill="1" applyBorder="1"/>
    <xf numFmtId="0" fontId="0" fillId="5" borderId="21" xfId="0" applyFill="1" applyBorder="1"/>
    <xf numFmtId="0" fontId="0" fillId="5" borderId="18" xfId="0" applyFill="1" applyBorder="1"/>
    <xf numFmtId="0" fontId="0" fillId="5" borderId="22" xfId="0" applyFill="1" applyBorder="1"/>
    <xf numFmtId="1" fontId="0" fillId="5" borderId="18" xfId="0" applyNumberFormat="1" applyFill="1" applyBorder="1"/>
    <xf numFmtId="0" fontId="4" fillId="5" borderId="17" xfId="0" applyFont="1" applyFill="1" applyBorder="1"/>
    <xf numFmtId="0" fontId="4" fillId="5" borderId="0" xfId="0" applyFont="1" applyFill="1" applyBorder="1"/>
    <xf numFmtId="1" fontId="4" fillId="5" borderId="18" xfId="0" applyNumberFormat="1" applyFont="1" applyFill="1" applyBorder="1"/>
    <xf numFmtId="0" fontId="4" fillId="5" borderId="23" xfId="0" applyFont="1" applyFill="1" applyBorder="1"/>
    <xf numFmtId="0" fontId="4" fillId="5" borderId="19" xfId="0" applyFont="1" applyFill="1" applyBorder="1"/>
    <xf numFmtId="0" fontId="6" fillId="6" borderId="0" xfId="0" applyFont="1" applyFill="1"/>
    <xf numFmtId="0" fontId="9" fillId="7" borderId="24" xfId="0" applyFont="1" applyFill="1" applyBorder="1"/>
    <xf numFmtId="0" fontId="9" fillId="7" borderId="25" xfId="0" applyFont="1" applyFill="1" applyBorder="1"/>
    <xf numFmtId="0" fontId="9" fillId="7" borderId="26" xfId="0" applyFont="1" applyFill="1" applyBorder="1"/>
    <xf numFmtId="0" fontId="3" fillId="7" borderId="13" xfId="0" applyFont="1" applyFill="1" applyBorder="1"/>
    <xf numFmtId="0" fontId="3" fillId="7" borderId="0" xfId="0" applyFont="1" applyFill="1" applyBorder="1"/>
    <xf numFmtId="0" fontId="3" fillId="7" borderId="16" xfId="0" applyFont="1" applyFill="1" applyBorder="1"/>
    <xf numFmtId="0" fontId="0" fillId="7" borderId="24" xfId="0" applyFill="1" applyBorder="1"/>
    <xf numFmtId="0" fontId="0" fillId="7" borderId="25" xfId="0" applyFill="1" applyBorder="1"/>
    <xf numFmtId="0" fontId="3" fillId="7" borderId="25" xfId="0" applyFont="1" applyFill="1" applyBorder="1"/>
    <xf numFmtId="0" fontId="3" fillId="7" borderId="26" xfId="0" applyFont="1" applyFill="1" applyBorder="1"/>
    <xf numFmtId="0" fontId="2" fillId="6" borderId="0" xfId="0" applyFont="1" applyFill="1"/>
    <xf numFmtId="0" fontId="6" fillId="6" borderId="22" xfId="0" applyFont="1" applyFill="1" applyBorder="1"/>
    <xf numFmtId="1" fontId="4" fillId="5" borderId="27" xfId="0" applyNumberFormat="1" applyFont="1" applyFill="1" applyBorder="1"/>
    <xf numFmtId="0" fontId="6" fillId="6" borderId="28" xfId="0" applyFont="1" applyFill="1" applyBorder="1"/>
    <xf numFmtId="0" fontId="5" fillId="8" borderId="29" xfId="0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3" fillId="5" borderId="12" xfId="0" applyFont="1" applyFill="1" applyBorder="1" applyAlignment="1"/>
    <xf numFmtId="0" fontId="0" fillId="5" borderId="13" xfId="0" applyFill="1" applyBorder="1" applyAlignment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8233099441504863"/>
          <c:y val="4.5801640529680866E-2"/>
          <c:w val="0.56015089005860297"/>
          <c:h val="0.84224127862913145"/>
        </c:manualLayout>
      </c:layout>
      <c:barChart>
        <c:barDir val="col"/>
        <c:grouping val="stacked"/>
        <c:ser>
          <c:idx val="0"/>
          <c:order val="0"/>
          <c:tx>
            <c:strRef>
              <c:f>Graph!$A$2</c:f>
              <c:strCache>
                <c:ptCount val="1"/>
                <c:pt idx="0">
                  <c:v>Coût matière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Graph!$B$2:$D$2</c:f>
              <c:numCache>
                <c:formatCode>General</c:formatCode>
                <c:ptCount val="3"/>
                <c:pt idx="0">
                  <c:v>770</c:v>
                </c:pt>
                <c:pt idx="1">
                  <c:v>770</c:v>
                </c:pt>
                <c:pt idx="2">
                  <c:v>770</c:v>
                </c:pt>
              </c:numCache>
            </c:numRef>
          </c:val>
        </c:ser>
        <c:ser>
          <c:idx val="1"/>
          <c:order val="1"/>
          <c:tx>
            <c:strRef>
              <c:f>Graph!$A$3</c:f>
              <c:strCache>
                <c:ptCount val="1"/>
                <c:pt idx="0">
                  <c:v>Coûts d'embauche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Graph!$B$3:$D$3</c:f>
              <c:numCache>
                <c:formatCode>General</c:formatCode>
                <c:ptCount val="3"/>
                <c:pt idx="0">
                  <c:v>30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Graph!$A$4</c:f>
              <c:strCache>
                <c:ptCount val="1"/>
                <c:pt idx="0">
                  <c:v>Coûts de licenciement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Graph!$B$4:$D$4</c:f>
              <c:numCache>
                <c:formatCode>General</c:formatCode>
                <c:ptCount val="3"/>
                <c:pt idx="0">
                  <c:v>36</c:v>
                </c:pt>
                <c:pt idx="1">
                  <c:v>2</c:v>
                </c:pt>
                <c:pt idx="2">
                  <c:v>26</c:v>
                </c:pt>
              </c:numCache>
            </c:numRef>
          </c:val>
        </c:ser>
        <c:ser>
          <c:idx val="3"/>
          <c:order val="3"/>
          <c:tx>
            <c:strRef>
              <c:f>Graph!$A$5</c:f>
              <c:strCache>
                <c:ptCount val="1"/>
                <c:pt idx="0">
                  <c:v>Coût main-d'oeuvre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Graph!$B$5:$D$5</c:f>
              <c:numCache>
                <c:formatCode>General</c:formatCode>
                <c:ptCount val="3"/>
                <c:pt idx="0">
                  <c:v>585.6</c:v>
                </c:pt>
                <c:pt idx="1">
                  <c:v>590.4</c:v>
                </c:pt>
                <c:pt idx="2">
                  <c:v>417.6</c:v>
                </c:pt>
              </c:numCache>
            </c:numRef>
          </c:val>
        </c:ser>
        <c:ser>
          <c:idx val="4"/>
          <c:order val="4"/>
          <c:tx>
            <c:strRef>
              <c:f>Graph!$A$6</c:f>
              <c:strCache>
                <c:ptCount val="1"/>
                <c:pt idx="0">
                  <c:v>Coût de stockage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Graph!$B$6:$D$6</c:f>
              <c:numCache>
                <c:formatCode>General</c:formatCode>
                <c:ptCount val="3"/>
                <c:pt idx="0">
                  <c:v>0</c:v>
                </c:pt>
                <c:pt idx="1">
                  <c:v>6.4999999999999929</c:v>
                </c:pt>
                <c:pt idx="2">
                  <c:v>23</c:v>
                </c:pt>
              </c:numCache>
            </c:numRef>
          </c:val>
        </c:ser>
        <c:ser>
          <c:idx val="5"/>
          <c:order val="5"/>
          <c:tx>
            <c:strRef>
              <c:f>Graph!$A$7</c:f>
              <c:strCache>
                <c:ptCount val="1"/>
                <c:pt idx="0">
                  <c:v>Coût de rupture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Graph!$B$7:$D$7</c:f>
              <c:numCache>
                <c:formatCode>General</c:formatCode>
                <c:ptCount val="3"/>
                <c:pt idx="0">
                  <c:v>0</c:v>
                </c:pt>
                <c:pt idx="1">
                  <c:v>30.000000000000046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Graph!$A$8</c:f>
              <c:strCache>
                <c:ptCount val="1"/>
                <c:pt idx="0">
                  <c:v>Coût de sous-traitance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Graph!$B$1:$D$1</c:f>
              <c:strCache>
                <c:ptCount val="3"/>
                <c:pt idx="0">
                  <c:v>P1</c:v>
                </c:pt>
                <c:pt idx="1">
                  <c:v>P2</c:v>
                </c:pt>
                <c:pt idx="2">
                  <c:v>P3</c:v>
                </c:pt>
              </c:strCache>
            </c:strRef>
          </c:cat>
          <c:val>
            <c:numRef>
              <c:f>Graph!$B$8:$D$8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230</c:v>
                </c:pt>
              </c:numCache>
            </c:numRef>
          </c:val>
        </c:ser>
        <c:overlap val="100"/>
        <c:axId val="156093440"/>
        <c:axId val="156103424"/>
      </c:barChart>
      <c:catAx>
        <c:axId val="156093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103424"/>
        <c:crosses val="autoZero"/>
        <c:auto val="1"/>
        <c:lblAlgn val="ctr"/>
        <c:lblOffset val="100"/>
        <c:tickLblSkip val="1"/>
        <c:tickMarkSkip val="1"/>
      </c:catAx>
      <c:valAx>
        <c:axId val="156103424"/>
        <c:scaling>
          <c:orientation val="minMax"/>
          <c:max val="1700"/>
          <c:min val="7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Coût(k€)</a:t>
                </a:r>
              </a:p>
            </c:rich>
          </c:tx>
          <c:layout>
            <c:manualLayout>
              <c:xMode val="edge"/>
              <c:yMode val="edge"/>
              <c:x val="3.007518796992481E-2"/>
              <c:y val="0.37659139935752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093440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24119353501872"/>
          <c:y val="0.21628552156171318"/>
          <c:w val="0.98872259388629058"/>
          <c:h val="0.674301857306004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704850</xdr:colOff>
      <xdr:row>34</xdr:row>
      <xdr:rowOff>19050</xdr:rowOff>
    </xdr:to>
    <xdr:graphicFrame macro="">
      <xdr:nvGraphicFramePr>
        <xdr:cNvPr id="10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workbookViewId="0">
      <selection activeCell="J16" sqref="J16"/>
    </sheetView>
  </sheetViews>
  <sheetFormatPr baseColWidth="10" defaultRowHeight="12.75"/>
  <cols>
    <col min="1" max="1" width="17.42578125" style="20" customWidth="1"/>
    <col min="2" max="2" width="9.5703125" style="20" customWidth="1"/>
    <col min="3" max="8" width="8.5703125" style="20" customWidth="1"/>
    <col min="9" max="9" width="10.85546875" style="20" customWidth="1"/>
    <col min="10" max="16384" width="11.42578125" style="20"/>
  </cols>
  <sheetData>
    <row r="1" spans="1:9" ht="15.75">
      <c r="A1" s="78" t="s">
        <v>0</v>
      </c>
    </row>
    <row r="2" spans="1:9" ht="15.75">
      <c r="A2" s="50"/>
    </row>
    <row r="3" spans="1:9">
      <c r="A3" s="84" t="s">
        <v>1</v>
      </c>
      <c r="B3" s="85"/>
      <c r="C3" s="85"/>
      <c r="D3" s="71">
        <v>160</v>
      </c>
      <c r="E3" s="51" t="s">
        <v>2</v>
      </c>
      <c r="F3" s="23"/>
      <c r="G3" s="23"/>
      <c r="H3" s="74">
        <v>5</v>
      </c>
    </row>
    <row r="4" spans="1:9">
      <c r="A4" s="52" t="s">
        <v>3</v>
      </c>
      <c r="B4" s="53"/>
      <c r="C4" s="53"/>
      <c r="D4" s="72">
        <v>100</v>
      </c>
      <c r="E4" s="48" t="s">
        <v>4</v>
      </c>
      <c r="F4" s="26"/>
      <c r="G4" s="26"/>
      <c r="H4" s="75">
        <v>15</v>
      </c>
      <c r="I4" s="54"/>
    </row>
    <row r="5" spans="1:9">
      <c r="A5" s="52" t="s">
        <v>5</v>
      </c>
      <c r="B5" s="53"/>
      <c r="C5" s="53"/>
      <c r="D5" s="72">
        <v>10</v>
      </c>
      <c r="E5" s="48" t="s">
        <v>6</v>
      </c>
      <c r="F5" s="26"/>
      <c r="G5" s="26"/>
      <c r="H5" s="75">
        <v>42</v>
      </c>
      <c r="I5" s="54"/>
    </row>
    <row r="6" spans="1:9">
      <c r="A6" s="52" t="s">
        <v>7</v>
      </c>
      <c r="B6" s="53"/>
      <c r="C6" s="53"/>
      <c r="D6" s="72">
        <v>50</v>
      </c>
      <c r="E6" s="52" t="s">
        <v>8</v>
      </c>
      <c r="F6" s="26"/>
      <c r="G6" s="53"/>
      <c r="H6" s="76">
        <v>1000</v>
      </c>
      <c r="I6" s="54"/>
    </row>
    <row r="7" spans="1:9">
      <c r="A7" s="52" t="s">
        <v>9</v>
      </c>
      <c r="B7" s="53"/>
      <c r="C7" s="53"/>
      <c r="D7" s="72">
        <v>400</v>
      </c>
      <c r="E7" s="52" t="s">
        <v>10</v>
      </c>
      <c r="F7" s="26"/>
      <c r="G7" s="53"/>
      <c r="H7" s="76">
        <v>2000</v>
      </c>
      <c r="I7" s="54"/>
    </row>
    <row r="8" spans="1:9">
      <c r="A8" s="55" t="s">
        <v>37</v>
      </c>
      <c r="B8" s="56"/>
      <c r="C8" s="56"/>
      <c r="D8" s="73">
        <v>0</v>
      </c>
      <c r="E8" s="55" t="s">
        <v>11</v>
      </c>
      <c r="F8" s="29"/>
      <c r="G8" s="56"/>
      <c r="H8" s="77">
        <v>100</v>
      </c>
      <c r="I8" s="54"/>
    </row>
    <row r="9" spans="1:9" ht="13.5" thickBot="1"/>
    <row r="10" spans="1:9" ht="13.5" thickBot="1">
      <c r="A10" s="1"/>
      <c r="B10" s="2"/>
      <c r="C10" s="3" t="s">
        <v>12</v>
      </c>
      <c r="D10" s="3" t="s">
        <v>13</v>
      </c>
      <c r="E10" s="3" t="s">
        <v>14</v>
      </c>
      <c r="F10" s="3" t="s">
        <v>15</v>
      </c>
      <c r="G10" s="3" t="s">
        <v>16</v>
      </c>
      <c r="H10" s="3" t="s">
        <v>17</v>
      </c>
      <c r="I10" s="4" t="s">
        <v>18</v>
      </c>
    </row>
    <row r="11" spans="1:9">
      <c r="A11" s="57" t="s">
        <v>19</v>
      </c>
      <c r="B11" s="26"/>
      <c r="C11" s="82">
        <v>1800</v>
      </c>
      <c r="D11" s="82">
        <v>1500</v>
      </c>
      <c r="E11" s="82">
        <v>1100</v>
      </c>
      <c r="F11" s="82">
        <v>900</v>
      </c>
      <c r="G11" s="82">
        <v>1100</v>
      </c>
      <c r="H11" s="82">
        <v>1700</v>
      </c>
      <c r="I11" s="83">
        <f>SUM(C11:H11)</f>
        <v>8100</v>
      </c>
    </row>
    <row r="12" spans="1:9">
      <c r="A12" s="57"/>
      <c r="B12" s="26"/>
      <c r="C12" s="26"/>
      <c r="D12" s="26"/>
      <c r="E12" s="26"/>
      <c r="F12" s="26"/>
      <c r="G12" s="26"/>
      <c r="H12" s="26"/>
      <c r="I12" s="58"/>
    </row>
    <row r="13" spans="1:9" ht="15.75">
      <c r="A13" s="5" t="s">
        <v>20</v>
      </c>
      <c r="B13" s="6" t="s">
        <v>21</v>
      </c>
      <c r="C13" s="7"/>
      <c r="D13" s="7"/>
      <c r="E13" s="7"/>
      <c r="F13" s="7"/>
      <c r="G13" s="7"/>
      <c r="H13" s="7"/>
      <c r="I13" s="8"/>
    </row>
    <row r="14" spans="1:9">
      <c r="A14" s="57" t="s">
        <v>22</v>
      </c>
      <c r="B14" s="26"/>
      <c r="C14" s="59">
        <f t="shared" ref="C14:H14" si="0">C11-B15+C15</f>
        <v>1400</v>
      </c>
      <c r="D14" s="59">
        <f t="shared" si="0"/>
        <v>1500</v>
      </c>
      <c r="E14" s="59">
        <f t="shared" si="0"/>
        <v>1100</v>
      </c>
      <c r="F14" s="59">
        <f t="shared" si="0"/>
        <v>900</v>
      </c>
      <c r="G14" s="59">
        <f t="shared" si="0"/>
        <v>1100</v>
      </c>
      <c r="H14" s="59">
        <f t="shared" si="0"/>
        <v>1700</v>
      </c>
      <c r="I14" s="60">
        <f>SUM(C14:H14)</f>
        <v>7700</v>
      </c>
    </row>
    <row r="15" spans="1:9">
      <c r="A15" s="57" t="s">
        <v>23</v>
      </c>
      <c r="B15" s="26">
        <f>$D$7</f>
        <v>400</v>
      </c>
      <c r="C15" s="59">
        <v>0</v>
      </c>
      <c r="D15" s="59">
        <f>C15</f>
        <v>0</v>
      </c>
      <c r="E15" s="59">
        <f>D15</f>
        <v>0</v>
      </c>
      <c r="F15" s="59">
        <f>E15</f>
        <v>0</v>
      </c>
      <c r="G15" s="59">
        <f>F15</f>
        <v>0</v>
      </c>
      <c r="H15" s="59">
        <f>D8</f>
        <v>0</v>
      </c>
      <c r="I15" s="60"/>
    </row>
    <row r="16" spans="1:9">
      <c r="A16" s="57"/>
      <c r="B16" s="26"/>
      <c r="C16" s="59"/>
      <c r="D16" s="59"/>
      <c r="E16" s="59"/>
      <c r="F16" s="59"/>
      <c r="G16" s="59"/>
      <c r="H16" s="59"/>
      <c r="I16" s="60"/>
    </row>
    <row r="17" spans="1:9">
      <c r="A17" s="57" t="s">
        <v>24</v>
      </c>
      <c r="B17" s="26"/>
      <c r="C17" s="59">
        <f t="shared" ref="C17:H17" si="1">C14*$H$3</f>
        <v>7000</v>
      </c>
      <c r="D17" s="59">
        <f t="shared" si="1"/>
        <v>7500</v>
      </c>
      <c r="E17" s="59">
        <f t="shared" si="1"/>
        <v>5500</v>
      </c>
      <c r="F17" s="59">
        <f t="shared" si="1"/>
        <v>4500</v>
      </c>
      <c r="G17" s="59">
        <f t="shared" si="1"/>
        <v>5500</v>
      </c>
      <c r="H17" s="59">
        <f t="shared" si="1"/>
        <v>8500</v>
      </c>
      <c r="I17" s="60">
        <f t="shared" ref="I17:I28" si="2">SUM(C17:H17)</f>
        <v>38500</v>
      </c>
    </row>
    <row r="18" spans="1:9">
      <c r="A18" s="57" t="s">
        <v>25</v>
      </c>
      <c r="B18" s="26">
        <f>$H$5</f>
        <v>42</v>
      </c>
      <c r="C18" s="61">
        <f t="shared" ref="C18:H18" si="3">TRUNC(C17/$D$3+1)</f>
        <v>44</v>
      </c>
      <c r="D18" s="61">
        <f t="shared" si="3"/>
        <v>47</v>
      </c>
      <c r="E18" s="61">
        <f t="shared" si="3"/>
        <v>35</v>
      </c>
      <c r="F18" s="61">
        <f t="shared" si="3"/>
        <v>29</v>
      </c>
      <c r="G18" s="61">
        <f t="shared" si="3"/>
        <v>35</v>
      </c>
      <c r="H18" s="61">
        <f t="shared" si="3"/>
        <v>54</v>
      </c>
      <c r="I18" s="60"/>
    </row>
    <row r="19" spans="1:9">
      <c r="A19" s="57" t="s">
        <v>26</v>
      </c>
      <c r="B19" s="26"/>
      <c r="C19" s="61">
        <f t="shared" ref="C19:H19" si="4">C18-B18</f>
        <v>2</v>
      </c>
      <c r="D19" s="61">
        <f t="shared" si="4"/>
        <v>3</v>
      </c>
      <c r="E19" s="61">
        <f t="shared" si="4"/>
        <v>-12</v>
      </c>
      <c r="F19" s="61">
        <f t="shared" si="4"/>
        <v>-6</v>
      </c>
      <c r="G19" s="61">
        <f t="shared" si="4"/>
        <v>6</v>
      </c>
      <c r="H19" s="61">
        <f t="shared" si="4"/>
        <v>19</v>
      </c>
      <c r="I19" s="60"/>
    </row>
    <row r="20" spans="1:9">
      <c r="A20" s="57"/>
      <c r="B20" s="26"/>
      <c r="C20" s="59"/>
      <c r="D20" s="59"/>
      <c r="E20" s="59"/>
      <c r="F20" s="59"/>
      <c r="G20" s="59"/>
      <c r="H20" s="59"/>
      <c r="I20" s="60"/>
    </row>
    <row r="21" spans="1:9">
      <c r="A21" s="57" t="s">
        <v>27</v>
      </c>
      <c r="B21" s="26"/>
      <c r="C21" s="61">
        <f t="shared" ref="C21:H21" si="5">IF(C19&gt;0,C19*$H$6,0)</f>
        <v>2000</v>
      </c>
      <c r="D21" s="61">
        <f t="shared" si="5"/>
        <v>3000</v>
      </c>
      <c r="E21" s="61">
        <f t="shared" si="5"/>
        <v>0</v>
      </c>
      <c r="F21" s="61">
        <f t="shared" si="5"/>
        <v>0</v>
      </c>
      <c r="G21" s="61">
        <f t="shared" si="5"/>
        <v>6000</v>
      </c>
      <c r="H21" s="61">
        <f t="shared" si="5"/>
        <v>19000</v>
      </c>
      <c r="I21" s="60">
        <f t="shared" si="2"/>
        <v>30000</v>
      </c>
    </row>
    <row r="22" spans="1:9">
      <c r="A22" s="57" t="s">
        <v>28</v>
      </c>
      <c r="B22" s="26"/>
      <c r="C22" s="61">
        <f t="shared" ref="C22:H22" si="6">IF(C19&lt;0,-C19*$H$7,0)</f>
        <v>0</v>
      </c>
      <c r="D22" s="61">
        <f t="shared" si="6"/>
        <v>0</v>
      </c>
      <c r="E22" s="61">
        <f t="shared" si="6"/>
        <v>24000</v>
      </c>
      <c r="F22" s="61">
        <f t="shared" si="6"/>
        <v>12000</v>
      </c>
      <c r="G22" s="61">
        <f t="shared" si="6"/>
        <v>0</v>
      </c>
      <c r="H22" s="61">
        <f t="shared" si="6"/>
        <v>0</v>
      </c>
      <c r="I22" s="60">
        <f t="shared" si="2"/>
        <v>36000</v>
      </c>
    </row>
    <row r="23" spans="1:9">
      <c r="A23" s="57" t="s">
        <v>3</v>
      </c>
      <c r="B23" s="26"/>
      <c r="C23" s="61">
        <f t="shared" ref="C23:H23" si="7">C14*$D$4</f>
        <v>140000</v>
      </c>
      <c r="D23" s="61">
        <f t="shared" si="7"/>
        <v>150000</v>
      </c>
      <c r="E23" s="61">
        <f t="shared" si="7"/>
        <v>110000</v>
      </c>
      <c r="F23" s="61">
        <f t="shared" si="7"/>
        <v>90000</v>
      </c>
      <c r="G23" s="61">
        <f t="shared" si="7"/>
        <v>110000</v>
      </c>
      <c r="H23" s="61">
        <f t="shared" si="7"/>
        <v>170000</v>
      </c>
      <c r="I23" s="60">
        <f t="shared" si="2"/>
        <v>770000</v>
      </c>
    </row>
    <row r="24" spans="1:9">
      <c r="A24" s="57" t="s">
        <v>29</v>
      </c>
      <c r="B24" s="26"/>
      <c r="C24" s="61">
        <f t="shared" ref="C24:H24" si="8">C18*$H$4*$D$3</f>
        <v>105600</v>
      </c>
      <c r="D24" s="61">
        <f t="shared" si="8"/>
        <v>112800</v>
      </c>
      <c r="E24" s="61">
        <f t="shared" si="8"/>
        <v>84000</v>
      </c>
      <c r="F24" s="61">
        <f t="shared" si="8"/>
        <v>69600</v>
      </c>
      <c r="G24" s="61">
        <f t="shared" si="8"/>
        <v>84000</v>
      </c>
      <c r="H24" s="61">
        <f t="shared" si="8"/>
        <v>129600</v>
      </c>
      <c r="I24" s="60">
        <f t="shared" si="2"/>
        <v>585600</v>
      </c>
    </row>
    <row r="25" spans="1:9">
      <c r="A25" s="57" t="s">
        <v>5</v>
      </c>
      <c r="B25" s="26"/>
      <c r="C25" s="61">
        <f t="shared" ref="C25:H25" si="9">C15*$D$5</f>
        <v>0</v>
      </c>
      <c r="D25" s="61">
        <f t="shared" si="9"/>
        <v>0</v>
      </c>
      <c r="E25" s="61">
        <f t="shared" si="9"/>
        <v>0</v>
      </c>
      <c r="F25" s="61">
        <f t="shared" si="9"/>
        <v>0</v>
      </c>
      <c r="G25" s="61">
        <f t="shared" si="9"/>
        <v>0</v>
      </c>
      <c r="H25" s="61">
        <f t="shared" si="9"/>
        <v>0</v>
      </c>
      <c r="I25" s="60">
        <f t="shared" si="2"/>
        <v>0</v>
      </c>
    </row>
    <row r="26" spans="1:9">
      <c r="A26" s="57" t="s">
        <v>7</v>
      </c>
      <c r="B26" s="26"/>
      <c r="C26" s="61">
        <f t="shared" ref="C26:H26" si="10">IF(C15&lt;0,-C15*$D$6,0)</f>
        <v>0</v>
      </c>
      <c r="D26" s="61">
        <f t="shared" si="10"/>
        <v>0</v>
      </c>
      <c r="E26" s="61">
        <f t="shared" si="10"/>
        <v>0</v>
      </c>
      <c r="F26" s="61">
        <f t="shared" si="10"/>
        <v>0</v>
      </c>
      <c r="G26" s="61">
        <f t="shared" si="10"/>
        <v>0</v>
      </c>
      <c r="H26" s="61">
        <f t="shared" si="10"/>
        <v>0</v>
      </c>
      <c r="I26" s="60">
        <f t="shared" si="2"/>
        <v>0</v>
      </c>
    </row>
    <row r="27" spans="1:9">
      <c r="A27" s="57" t="s">
        <v>11</v>
      </c>
      <c r="B27" s="26"/>
      <c r="C27" s="61"/>
      <c r="D27" s="61"/>
      <c r="E27" s="61"/>
      <c r="F27" s="61"/>
      <c r="G27" s="61"/>
      <c r="H27" s="61"/>
      <c r="I27" s="60">
        <f t="shared" si="2"/>
        <v>0</v>
      </c>
    </row>
    <row r="28" spans="1:9">
      <c r="A28" s="62" t="s">
        <v>30</v>
      </c>
      <c r="B28" s="63"/>
      <c r="C28" s="64">
        <f t="shared" ref="C28:H28" si="11">SUM(C21:C27)</f>
        <v>247600</v>
      </c>
      <c r="D28" s="64">
        <f t="shared" si="11"/>
        <v>265800</v>
      </c>
      <c r="E28" s="64">
        <f t="shared" si="11"/>
        <v>218000</v>
      </c>
      <c r="F28" s="64">
        <f t="shared" si="11"/>
        <v>171600</v>
      </c>
      <c r="G28" s="64">
        <f t="shared" si="11"/>
        <v>200000</v>
      </c>
      <c r="H28" s="64">
        <f t="shared" si="11"/>
        <v>318600</v>
      </c>
      <c r="I28" s="79">
        <f t="shared" si="2"/>
        <v>1421600</v>
      </c>
    </row>
    <row r="29" spans="1:9">
      <c r="A29" s="57"/>
      <c r="B29" s="26"/>
      <c r="C29" s="59"/>
      <c r="D29" s="59"/>
      <c r="E29" s="59"/>
      <c r="F29" s="59"/>
      <c r="G29" s="59"/>
      <c r="H29" s="59"/>
      <c r="I29" s="60"/>
    </row>
    <row r="30" spans="1:9" ht="15.75">
      <c r="A30" s="5" t="s">
        <v>31</v>
      </c>
      <c r="B30" s="6" t="s">
        <v>32</v>
      </c>
      <c r="C30" s="7"/>
      <c r="D30" s="7"/>
      <c r="E30" s="7"/>
      <c r="F30" s="7"/>
      <c r="G30" s="7"/>
      <c r="H30" s="7"/>
      <c r="I30" s="8"/>
    </row>
    <row r="31" spans="1:9">
      <c r="A31" s="57" t="s">
        <v>22</v>
      </c>
      <c r="B31" s="26"/>
      <c r="C31" s="59">
        <f>(I11+D8-D7)/6</f>
        <v>1283.3333333333333</v>
      </c>
      <c r="D31" s="59">
        <f>C31</f>
        <v>1283.3333333333333</v>
      </c>
      <c r="E31" s="59">
        <f>D31</f>
        <v>1283.3333333333333</v>
      </c>
      <c r="F31" s="59">
        <f>E31</f>
        <v>1283.3333333333333</v>
      </c>
      <c r="G31" s="59">
        <f>F31</f>
        <v>1283.3333333333333</v>
      </c>
      <c r="H31" s="59">
        <f>G31</f>
        <v>1283.3333333333333</v>
      </c>
      <c r="I31" s="60">
        <f>SUM(C31:H31)</f>
        <v>7699.9999999999991</v>
      </c>
    </row>
    <row r="32" spans="1:9">
      <c r="A32" s="57" t="s">
        <v>23</v>
      </c>
      <c r="B32" s="26">
        <f>$D$7</f>
        <v>400</v>
      </c>
      <c r="C32" s="59">
        <f t="shared" ref="C32:H32" si="12">IF((C31+B32-C11-B33)&gt;0,C31+B32-C11-B33,0)</f>
        <v>0</v>
      </c>
      <c r="D32" s="59">
        <f t="shared" si="12"/>
        <v>0</v>
      </c>
      <c r="E32" s="59">
        <f t="shared" si="12"/>
        <v>0</v>
      </c>
      <c r="F32" s="59">
        <f t="shared" si="12"/>
        <v>233.33333333333303</v>
      </c>
      <c r="G32" s="59">
        <f t="shared" si="12"/>
        <v>416.66666666666629</v>
      </c>
      <c r="H32" s="59">
        <f t="shared" si="12"/>
        <v>0</v>
      </c>
      <c r="I32" s="60"/>
    </row>
    <row r="33" spans="1:9">
      <c r="A33" s="57" t="s">
        <v>33</v>
      </c>
      <c r="B33" s="26"/>
      <c r="C33" s="59">
        <f t="shared" ref="C33:H33" si="13">IF((C31+B32-C11-B33)&lt;0,-(C31+B32-C11-B33),0)</f>
        <v>116.66666666666674</v>
      </c>
      <c r="D33" s="59">
        <f t="shared" si="13"/>
        <v>333.33333333333348</v>
      </c>
      <c r="E33" s="59">
        <f t="shared" si="13"/>
        <v>150.00000000000023</v>
      </c>
      <c r="F33" s="59">
        <f t="shared" si="13"/>
        <v>0</v>
      </c>
      <c r="G33" s="59">
        <f t="shared" si="13"/>
        <v>0</v>
      </c>
      <c r="H33" s="59">
        <f t="shared" si="13"/>
        <v>4.5474735088646412E-13</v>
      </c>
      <c r="I33" s="60"/>
    </row>
    <row r="34" spans="1:9">
      <c r="A34" s="57"/>
      <c r="B34" s="26"/>
      <c r="C34" s="59"/>
      <c r="D34" s="59"/>
      <c r="E34" s="59"/>
      <c r="F34" s="59"/>
      <c r="G34" s="59"/>
      <c r="H34" s="59"/>
      <c r="I34" s="60"/>
    </row>
    <row r="35" spans="1:9">
      <c r="A35" s="57" t="s">
        <v>24</v>
      </c>
      <c r="B35" s="26"/>
      <c r="C35" s="59">
        <f t="shared" ref="C35:H35" si="14">C31*$H$3</f>
        <v>6416.6666666666661</v>
      </c>
      <c r="D35" s="59">
        <f t="shared" si="14"/>
        <v>6416.6666666666661</v>
      </c>
      <c r="E35" s="59">
        <f t="shared" si="14"/>
        <v>6416.6666666666661</v>
      </c>
      <c r="F35" s="59">
        <f t="shared" si="14"/>
        <v>6416.6666666666661</v>
      </c>
      <c r="G35" s="59">
        <f t="shared" si="14"/>
        <v>6416.6666666666661</v>
      </c>
      <c r="H35" s="59">
        <f t="shared" si="14"/>
        <v>6416.6666666666661</v>
      </c>
      <c r="I35" s="60">
        <f t="shared" ref="I35:I46" si="15">SUM(C35:H35)</f>
        <v>38499.999999999993</v>
      </c>
    </row>
    <row r="36" spans="1:9">
      <c r="A36" s="57" t="s">
        <v>25</v>
      </c>
      <c r="B36" s="26">
        <f>$H$5</f>
        <v>42</v>
      </c>
      <c r="C36" s="61">
        <f t="shared" ref="C36:H36" si="16">TRUNC(C35/$D$3+1)</f>
        <v>41</v>
      </c>
      <c r="D36" s="61">
        <f t="shared" si="16"/>
        <v>41</v>
      </c>
      <c r="E36" s="61">
        <f t="shared" si="16"/>
        <v>41</v>
      </c>
      <c r="F36" s="61">
        <f t="shared" si="16"/>
        <v>41</v>
      </c>
      <c r="G36" s="61">
        <f t="shared" si="16"/>
        <v>41</v>
      </c>
      <c r="H36" s="61">
        <f t="shared" si="16"/>
        <v>41</v>
      </c>
      <c r="I36" s="60"/>
    </row>
    <row r="37" spans="1:9">
      <c r="A37" s="57" t="s">
        <v>26</v>
      </c>
      <c r="B37" s="26"/>
      <c r="C37" s="61">
        <f t="shared" ref="C37:H37" si="17">C36-B36</f>
        <v>-1</v>
      </c>
      <c r="D37" s="61">
        <f t="shared" si="17"/>
        <v>0</v>
      </c>
      <c r="E37" s="61">
        <f t="shared" si="17"/>
        <v>0</v>
      </c>
      <c r="F37" s="61">
        <f t="shared" si="17"/>
        <v>0</v>
      </c>
      <c r="G37" s="61">
        <f t="shared" si="17"/>
        <v>0</v>
      </c>
      <c r="H37" s="61">
        <f t="shared" si="17"/>
        <v>0</v>
      </c>
      <c r="I37" s="60"/>
    </row>
    <row r="38" spans="1:9">
      <c r="A38" s="57"/>
      <c r="B38" s="26"/>
      <c r="C38" s="59"/>
      <c r="D38" s="59"/>
      <c r="E38" s="59"/>
      <c r="F38" s="59"/>
      <c r="G38" s="59"/>
      <c r="H38" s="59"/>
      <c r="I38" s="60"/>
    </row>
    <row r="39" spans="1:9">
      <c r="A39" s="57" t="s">
        <v>27</v>
      </c>
      <c r="B39" s="26"/>
      <c r="C39" s="61">
        <f t="shared" ref="C39:H39" si="18">IF(C37&gt;0,C37*$H$6,0)</f>
        <v>0</v>
      </c>
      <c r="D39" s="61">
        <f t="shared" si="18"/>
        <v>0</v>
      </c>
      <c r="E39" s="61">
        <f t="shared" si="18"/>
        <v>0</v>
      </c>
      <c r="F39" s="61">
        <f t="shared" si="18"/>
        <v>0</v>
      </c>
      <c r="G39" s="61">
        <f t="shared" si="18"/>
        <v>0</v>
      </c>
      <c r="H39" s="61">
        <f t="shared" si="18"/>
        <v>0</v>
      </c>
      <c r="I39" s="60">
        <f t="shared" si="15"/>
        <v>0</v>
      </c>
    </row>
    <row r="40" spans="1:9">
      <c r="A40" s="57" t="s">
        <v>28</v>
      </c>
      <c r="B40" s="26"/>
      <c r="C40" s="61">
        <f t="shared" ref="C40:H40" si="19">IF(C37&lt;0,-C37*$H$7,0)</f>
        <v>2000</v>
      </c>
      <c r="D40" s="61">
        <f t="shared" si="19"/>
        <v>0</v>
      </c>
      <c r="E40" s="61">
        <f t="shared" si="19"/>
        <v>0</v>
      </c>
      <c r="F40" s="61">
        <f t="shared" si="19"/>
        <v>0</v>
      </c>
      <c r="G40" s="61">
        <f t="shared" si="19"/>
        <v>0</v>
      </c>
      <c r="H40" s="61">
        <f t="shared" si="19"/>
        <v>0</v>
      </c>
      <c r="I40" s="60">
        <f t="shared" si="15"/>
        <v>2000</v>
      </c>
    </row>
    <row r="41" spans="1:9">
      <c r="A41" s="57" t="s">
        <v>3</v>
      </c>
      <c r="B41" s="26"/>
      <c r="C41" s="61">
        <f t="shared" ref="C41:H41" si="20">C31*$D$4</f>
        <v>128333.33333333333</v>
      </c>
      <c r="D41" s="61">
        <f t="shared" si="20"/>
        <v>128333.33333333333</v>
      </c>
      <c r="E41" s="61">
        <f t="shared" si="20"/>
        <v>128333.33333333333</v>
      </c>
      <c r="F41" s="61">
        <f t="shared" si="20"/>
        <v>128333.33333333333</v>
      </c>
      <c r="G41" s="61">
        <f t="shared" si="20"/>
        <v>128333.33333333333</v>
      </c>
      <c r="H41" s="61">
        <f t="shared" si="20"/>
        <v>128333.33333333333</v>
      </c>
      <c r="I41" s="60">
        <f t="shared" si="15"/>
        <v>770000</v>
      </c>
    </row>
    <row r="42" spans="1:9">
      <c r="A42" s="57" t="s">
        <v>29</v>
      </c>
      <c r="B42" s="26"/>
      <c r="C42" s="61">
        <f t="shared" ref="C42:H42" si="21">C36*$H$4*$D$3</f>
        <v>98400</v>
      </c>
      <c r="D42" s="61">
        <f t="shared" si="21"/>
        <v>98400</v>
      </c>
      <c r="E42" s="61">
        <f t="shared" si="21"/>
        <v>98400</v>
      </c>
      <c r="F42" s="61">
        <f t="shared" si="21"/>
        <v>98400</v>
      </c>
      <c r="G42" s="61">
        <f t="shared" si="21"/>
        <v>98400</v>
      </c>
      <c r="H42" s="61">
        <f t="shared" si="21"/>
        <v>98400</v>
      </c>
      <c r="I42" s="60">
        <f t="shared" si="15"/>
        <v>590400</v>
      </c>
    </row>
    <row r="43" spans="1:9">
      <c r="A43" s="57" t="s">
        <v>5</v>
      </c>
      <c r="B43" s="26"/>
      <c r="C43" s="61">
        <f t="shared" ref="C43:H43" si="22">C32*$D$5</f>
        <v>0</v>
      </c>
      <c r="D43" s="61">
        <f t="shared" si="22"/>
        <v>0</v>
      </c>
      <c r="E43" s="61">
        <f t="shared" si="22"/>
        <v>0</v>
      </c>
      <c r="F43" s="61">
        <f t="shared" si="22"/>
        <v>2333.3333333333303</v>
      </c>
      <c r="G43" s="61">
        <f t="shared" si="22"/>
        <v>4166.6666666666624</v>
      </c>
      <c r="H43" s="61">
        <f t="shared" si="22"/>
        <v>0</v>
      </c>
      <c r="I43" s="60">
        <f t="shared" si="15"/>
        <v>6499.9999999999927</v>
      </c>
    </row>
    <row r="44" spans="1:9">
      <c r="A44" s="57" t="s">
        <v>7</v>
      </c>
      <c r="B44" s="26"/>
      <c r="C44" s="61">
        <f t="shared" ref="C44:H44" si="23">C33*$D$6</f>
        <v>5833.3333333333376</v>
      </c>
      <c r="D44" s="61">
        <f t="shared" si="23"/>
        <v>16666.666666666675</v>
      </c>
      <c r="E44" s="61">
        <f t="shared" si="23"/>
        <v>7500.0000000000109</v>
      </c>
      <c r="F44" s="61">
        <f t="shared" si="23"/>
        <v>0</v>
      </c>
      <c r="G44" s="61">
        <f t="shared" si="23"/>
        <v>0</v>
      </c>
      <c r="H44" s="61">
        <f t="shared" si="23"/>
        <v>2.2737367544323206E-11</v>
      </c>
      <c r="I44" s="60">
        <f t="shared" si="15"/>
        <v>30000.000000000047</v>
      </c>
    </row>
    <row r="45" spans="1:9">
      <c r="A45" s="57" t="s">
        <v>11</v>
      </c>
      <c r="B45" s="26"/>
      <c r="C45" s="61"/>
      <c r="D45" s="61"/>
      <c r="E45" s="61"/>
      <c r="F45" s="61"/>
      <c r="G45" s="61"/>
      <c r="H45" s="61"/>
      <c r="I45" s="60">
        <f t="shared" si="15"/>
        <v>0</v>
      </c>
    </row>
    <row r="46" spans="1:9">
      <c r="A46" s="62" t="s">
        <v>30</v>
      </c>
      <c r="B46" s="63"/>
      <c r="C46" s="64">
        <f t="shared" ref="C46:H46" si="24">SUM(C39:C45)</f>
        <v>234566.66666666666</v>
      </c>
      <c r="D46" s="64">
        <f t="shared" si="24"/>
        <v>243400</v>
      </c>
      <c r="E46" s="64">
        <f t="shared" si="24"/>
        <v>234233.33333333331</v>
      </c>
      <c r="F46" s="64">
        <f t="shared" si="24"/>
        <v>229066.66666666666</v>
      </c>
      <c r="G46" s="64">
        <f t="shared" si="24"/>
        <v>230899.99999999997</v>
      </c>
      <c r="H46" s="64">
        <f t="shared" si="24"/>
        <v>226733.33333333334</v>
      </c>
      <c r="I46" s="79">
        <f t="shared" si="15"/>
        <v>1398899.9999999998</v>
      </c>
    </row>
    <row r="47" spans="1:9">
      <c r="A47" s="57"/>
      <c r="B47" s="26"/>
      <c r="C47" s="59"/>
      <c r="D47" s="59"/>
      <c r="E47" s="59"/>
      <c r="F47" s="59"/>
      <c r="G47" s="59"/>
      <c r="H47" s="59"/>
      <c r="I47" s="60"/>
    </row>
    <row r="48" spans="1:9" ht="15.75">
      <c r="A48" s="5" t="s">
        <v>34</v>
      </c>
      <c r="B48" s="6" t="s">
        <v>35</v>
      </c>
      <c r="C48" s="7"/>
      <c r="D48" s="7"/>
      <c r="E48" s="7"/>
      <c r="F48" s="7"/>
      <c r="G48" s="7"/>
      <c r="H48" s="7"/>
      <c r="I48" s="8"/>
    </row>
    <row r="49" spans="1:9">
      <c r="A49" s="57" t="s">
        <v>22</v>
      </c>
      <c r="B49" s="26"/>
      <c r="C49" s="59">
        <f>MIN(C11:H11)</f>
        <v>900</v>
      </c>
      <c r="D49" s="59">
        <f>C49</f>
        <v>900</v>
      </c>
      <c r="E49" s="59">
        <f>D49</f>
        <v>900</v>
      </c>
      <c r="F49" s="59">
        <f>E49</f>
        <v>900</v>
      </c>
      <c r="G49" s="59">
        <f>F49</f>
        <v>900</v>
      </c>
      <c r="H49" s="59">
        <f>G49</f>
        <v>900</v>
      </c>
      <c r="I49" s="60">
        <f>SUM(C49:H49)</f>
        <v>5400</v>
      </c>
    </row>
    <row r="50" spans="1:9">
      <c r="A50" s="57" t="s">
        <v>36</v>
      </c>
      <c r="B50" s="26"/>
      <c r="C50" s="59">
        <f t="shared" ref="C50:H50" si="25">C11-C49-B51+C51</f>
        <v>500</v>
      </c>
      <c r="D50" s="59">
        <f t="shared" si="25"/>
        <v>600</v>
      </c>
      <c r="E50" s="59">
        <f t="shared" si="25"/>
        <v>200</v>
      </c>
      <c r="F50" s="59">
        <f t="shared" si="25"/>
        <v>0</v>
      </c>
      <c r="G50" s="59">
        <f t="shared" si="25"/>
        <v>200</v>
      </c>
      <c r="H50" s="59">
        <f t="shared" si="25"/>
        <v>800</v>
      </c>
      <c r="I50" s="60">
        <f>SUM(C50:H50)</f>
        <v>2300</v>
      </c>
    </row>
    <row r="51" spans="1:9">
      <c r="A51" s="57" t="s">
        <v>23</v>
      </c>
      <c r="B51" s="26">
        <f>$D$7</f>
        <v>400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f>D8</f>
        <v>0</v>
      </c>
      <c r="I51" s="60"/>
    </row>
    <row r="52" spans="1:9">
      <c r="A52" s="57"/>
      <c r="B52" s="26"/>
      <c r="C52" s="59"/>
      <c r="D52" s="59"/>
      <c r="E52" s="59"/>
      <c r="F52" s="59"/>
      <c r="G52" s="59"/>
      <c r="H52" s="59"/>
      <c r="I52" s="60"/>
    </row>
    <row r="53" spans="1:9">
      <c r="A53" s="57" t="s">
        <v>24</v>
      </c>
      <c r="B53" s="26"/>
      <c r="C53" s="59">
        <f t="shared" ref="C53:H53" si="26">C49*$H$3</f>
        <v>4500</v>
      </c>
      <c r="D53" s="59">
        <f t="shared" si="26"/>
        <v>4500</v>
      </c>
      <c r="E53" s="59">
        <f t="shared" si="26"/>
        <v>4500</v>
      </c>
      <c r="F53" s="59">
        <f t="shared" si="26"/>
        <v>4500</v>
      </c>
      <c r="G53" s="59">
        <f t="shared" si="26"/>
        <v>4500</v>
      </c>
      <c r="H53" s="59">
        <f t="shared" si="26"/>
        <v>4500</v>
      </c>
      <c r="I53" s="60">
        <f>SUM(C53:H53)</f>
        <v>27000</v>
      </c>
    </row>
    <row r="54" spans="1:9">
      <c r="A54" s="57" t="s">
        <v>25</v>
      </c>
      <c r="B54" s="26">
        <f>$H$5</f>
        <v>42</v>
      </c>
      <c r="C54" s="61">
        <f t="shared" ref="C54:H54" si="27">TRUNC(C53/$D$3+1)</f>
        <v>29</v>
      </c>
      <c r="D54" s="61">
        <f t="shared" si="27"/>
        <v>29</v>
      </c>
      <c r="E54" s="61">
        <f t="shared" si="27"/>
        <v>29</v>
      </c>
      <c r="F54" s="61">
        <f t="shared" si="27"/>
        <v>29</v>
      </c>
      <c r="G54" s="61">
        <f t="shared" si="27"/>
        <v>29</v>
      </c>
      <c r="H54" s="61">
        <f t="shared" si="27"/>
        <v>29</v>
      </c>
      <c r="I54" s="60"/>
    </row>
    <row r="55" spans="1:9">
      <c r="A55" s="57" t="s">
        <v>26</v>
      </c>
      <c r="B55" s="26"/>
      <c r="C55" s="61">
        <f t="shared" ref="C55:H55" si="28">C54-B54</f>
        <v>-13</v>
      </c>
      <c r="D55" s="61">
        <f t="shared" si="28"/>
        <v>0</v>
      </c>
      <c r="E55" s="61">
        <f t="shared" si="28"/>
        <v>0</v>
      </c>
      <c r="F55" s="61">
        <f t="shared" si="28"/>
        <v>0</v>
      </c>
      <c r="G55" s="61">
        <f t="shared" si="28"/>
        <v>0</v>
      </c>
      <c r="H55" s="61">
        <f t="shared" si="28"/>
        <v>0</v>
      </c>
      <c r="I55" s="60"/>
    </row>
    <row r="56" spans="1:9">
      <c r="A56" s="57"/>
      <c r="B56" s="26"/>
      <c r="C56" s="59"/>
      <c r="D56" s="59"/>
      <c r="E56" s="59"/>
      <c r="F56" s="59"/>
      <c r="G56" s="59"/>
      <c r="H56" s="59"/>
      <c r="I56" s="60"/>
    </row>
    <row r="57" spans="1:9">
      <c r="A57" s="57" t="s">
        <v>27</v>
      </c>
      <c r="B57" s="26"/>
      <c r="C57" s="61">
        <f t="shared" ref="C57:H57" si="29">IF(C55&gt;0,C55*$H$6,0)</f>
        <v>0</v>
      </c>
      <c r="D57" s="61">
        <f t="shared" si="29"/>
        <v>0</v>
      </c>
      <c r="E57" s="61">
        <f t="shared" si="29"/>
        <v>0</v>
      </c>
      <c r="F57" s="61">
        <f t="shared" si="29"/>
        <v>0</v>
      </c>
      <c r="G57" s="61">
        <f t="shared" si="29"/>
        <v>0</v>
      </c>
      <c r="H57" s="61">
        <f t="shared" si="29"/>
        <v>0</v>
      </c>
      <c r="I57" s="60">
        <f t="shared" ref="I57:I64" si="30">SUM(C57:H57)</f>
        <v>0</v>
      </c>
    </row>
    <row r="58" spans="1:9">
      <c r="A58" s="57" t="s">
        <v>28</v>
      </c>
      <c r="B58" s="26"/>
      <c r="C58" s="61">
        <f t="shared" ref="C58:H58" si="31">IF(C55&lt;0,-C55*$H$7,0)</f>
        <v>26000</v>
      </c>
      <c r="D58" s="61">
        <f t="shared" si="31"/>
        <v>0</v>
      </c>
      <c r="E58" s="61">
        <f t="shared" si="31"/>
        <v>0</v>
      </c>
      <c r="F58" s="61">
        <f t="shared" si="31"/>
        <v>0</v>
      </c>
      <c r="G58" s="61">
        <f t="shared" si="31"/>
        <v>0</v>
      </c>
      <c r="H58" s="61">
        <f t="shared" si="31"/>
        <v>0</v>
      </c>
      <c r="I58" s="60">
        <f t="shared" si="30"/>
        <v>26000</v>
      </c>
    </row>
    <row r="59" spans="1:9">
      <c r="A59" s="57" t="s">
        <v>3</v>
      </c>
      <c r="B59" s="26"/>
      <c r="C59" s="61">
        <f t="shared" ref="C59:H59" si="32">(C49+C50)*$D$4</f>
        <v>140000</v>
      </c>
      <c r="D59" s="61">
        <f t="shared" si="32"/>
        <v>150000</v>
      </c>
      <c r="E59" s="61">
        <f t="shared" si="32"/>
        <v>110000</v>
      </c>
      <c r="F59" s="61">
        <f t="shared" si="32"/>
        <v>90000</v>
      </c>
      <c r="G59" s="61">
        <f t="shared" si="32"/>
        <v>110000</v>
      </c>
      <c r="H59" s="61">
        <f t="shared" si="32"/>
        <v>170000</v>
      </c>
      <c r="I59" s="60">
        <f t="shared" si="30"/>
        <v>770000</v>
      </c>
    </row>
    <row r="60" spans="1:9">
      <c r="A60" s="57" t="s">
        <v>29</v>
      </c>
      <c r="B60" s="26"/>
      <c r="C60" s="61">
        <f t="shared" ref="C60:H60" si="33">C54*$H$4*$D$3</f>
        <v>69600</v>
      </c>
      <c r="D60" s="61">
        <f t="shared" si="33"/>
        <v>69600</v>
      </c>
      <c r="E60" s="61">
        <f t="shared" si="33"/>
        <v>69600</v>
      </c>
      <c r="F60" s="61">
        <f t="shared" si="33"/>
        <v>69600</v>
      </c>
      <c r="G60" s="61">
        <f t="shared" si="33"/>
        <v>69600</v>
      </c>
      <c r="H60" s="61">
        <f t="shared" si="33"/>
        <v>69600</v>
      </c>
      <c r="I60" s="60">
        <f t="shared" si="30"/>
        <v>417600</v>
      </c>
    </row>
    <row r="61" spans="1:9">
      <c r="A61" s="57" t="s">
        <v>5</v>
      </c>
      <c r="B61" s="26"/>
      <c r="C61" s="61">
        <f t="shared" ref="C61:H61" si="34">C50*$D$5</f>
        <v>5000</v>
      </c>
      <c r="D61" s="61">
        <f t="shared" si="34"/>
        <v>6000</v>
      </c>
      <c r="E61" s="61">
        <f t="shared" si="34"/>
        <v>2000</v>
      </c>
      <c r="F61" s="61">
        <f t="shared" si="34"/>
        <v>0</v>
      </c>
      <c r="G61" s="61">
        <f t="shared" si="34"/>
        <v>2000</v>
      </c>
      <c r="H61" s="61">
        <f t="shared" si="34"/>
        <v>8000</v>
      </c>
      <c r="I61" s="60">
        <f t="shared" si="30"/>
        <v>23000</v>
      </c>
    </row>
    <row r="62" spans="1:9">
      <c r="A62" s="57" t="s">
        <v>7</v>
      </c>
      <c r="B62" s="26"/>
      <c r="C62" s="61">
        <f t="shared" ref="C62:H62" si="35">C51*$D$6</f>
        <v>0</v>
      </c>
      <c r="D62" s="61">
        <f t="shared" si="35"/>
        <v>0</v>
      </c>
      <c r="E62" s="61">
        <f t="shared" si="35"/>
        <v>0</v>
      </c>
      <c r="F62" s="61">
        <f t="shared" si="35"/>
        <v>0</v>
      </c>
      <c r="G62" s="61">
        <f t="shared" si="35"/>
        <v>0</v>
      </c>
      <c r="H62" s="61">
        <f t="shared" si="35"/>
        <v>0</v>
      </c>
      <c r="I62" s="60">
        <f t="shared" si="30"/>
        <v>0</v>
      </c>
    </row>
    <row r="63" spans="1:9">
      <c r="A63" s="57" t="s">
        <v>11</v>
      </c>
      <c r="B63" s="26"/>
      <c r="C63" s="61">
        <f t="shared" ref="C63:H63" si="36">C50*$H$8</f>
        <v>50000</v>
      </c>
      <c r="D63" s="61">
        <f t="shared" si="36"/>
        <v>60000</v>
      </c>
      <c r="E63" s="61">
        <f t="shared" si="36"/>
        <v>20000</v>
      </c>
      <c r="F63" s="61">
        <f t="shared" si="36"/>
        <v>0</v>
      </c>
      <c r="G63" s="61">
        <f t="shared" si="36"/>
        <v>20000</v>
      </c>
      <c r="H63" s="61">
        <f t="shared" si="36"/>
        <v>80000</v>
      </c>
      <c r="I63" s="60">
        <f t="shared" si="30"/>
        <v>230000</v>
      </c>
    </row>
    <row r="64" spans="1:9" ht="13.5" thickBot="1">
      <c r="A64" s="65" t="s">
        <v>30</v>
      </c>
      <c r="B64" s="66"/>
      <c r="C64" s="80">
        <f t="shared" ref="C64:H64" si="37">SUM(C57:C63)</f>
        <v>290600</v>
      </c>
      <c r="D64" s="80">
        <f t="shared" si="37"/>
        <v>285600</v>
      </c>
      <c r="E64" s="80">
        <f t="shared" si="37"/>
        <v>201600</v>
      </c>
      <c r="F64" s="80">
        <f t="shared" si="37"/>
        <v>159600</v>
      </c>
      <c r="G64" s="80">
        <f t="shared" si="37"/>
        <v>201600</v>
      </c>
      <c r="H64" s="80">
        <f t="shared" si="37"/>
        <v>327600</v>
      </c>
      <c r="I64" s="81">
        <f t="shared" si="30"/>
        <v>1466600</v>
      </c>
    </row>
  </sheetData>
  <mergeCells count="1">
    <mergeCell ref="A3:C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activeCell="E9" sqref="E9"/>
    </sheetView>
  </sheetViews>
  <sheetFormatPr baseColWidth="10" defaultRowHeight="12.75"/>
  <cols>
    <col min="1" max="1" width="31.85546875" style="20" bestFit="1" customWidth="1"/>
    <col min="2" max="3" width="11.42578125" style="20"/>
    <col min="4" max="4" width="10.7109375" style="20" bestFit="1" customWidth="1"/>
    <col min="5" max="16384" width="11.42578125" style="20"/>
  </cols>
  <sheetData>
    <row r="1" spans="1:5">
      <c r="A1" s="46"/>
      <c r="B1" s="46" t="s">
        <v>38</v>
      </c>
      <c r="C1" s="46" t="s">
        <v>39</v>
      </c>
      <c r="D1" s="47" t="s">
        <v>40</v>
      </c>
      <c r="E1" s="48"/>
    </row>
    <row r="2" spans="1:5">
      <c r="A2" s="46" t="s">
        <v>3</v>
      </c>
      <c r="B2" s="46">
        <f>Calcul!I23/1000</f>
        <v>770</v>
      </c>
      <c r="C2" s="46">
        <f>Calcul!I41/1000</f>
        <v>770</v>
      </c>
      <c r="D2" s="47">
        <f>Calcul!I59/1000</f>
        <v>770</v>
      </c>
      <c r="E2" s="48"/>
    </row>
    <row r="3" spans="1:5">
      <c r="A3" s="46" t="s">
        <v>27</v>
      </c>
      <c r="B3" s="46">
        <f>Calcul!I21/1000</f>
        <v>30</v>
      </c>
      <c r="C3" s="46">
        <f>Calcul!I39/1000</f>
        <v>0</v>
      </c>
      <c r="D3" s="47">
        <f>Calcul!I57/1000</f>
        <v>0</v>
      </c>
      <c r="E3" s="48"/>
    </row>
    <row r="4" spans="1:5">
      <c r="A4" s="46" t="s">
        <v>28</v>
      </c>
      <c r="B4" s="46">
        <f>Calcul!I22/1000</f>
        <v>36</v>
      </c>
      <c r="C4" s="46">
        <f>Calcul!I40/1000</f>
        <v>2</v>
      </c>
      <c r="D4" s="47">
        <f>Calcul!I58/1000</f>
        <v>26</v>
      </c>
      <c r="E4" s="48"/>
    </row>
    <row r="5" spans="1:5">
      <c r="A5" s="46" t="s">
        <v>29</v>
      </c>
      <c r="B5" s="46">
        <f>Calcul!I24/1000</f>
        <v>585.6</v>
      </c>
      <c r="C5" s="46">
        <f>Calcul!I42/1000</f>
        <v>590.4</v>
      </c>
      <c r="D5" s="47">
        <f>Calcul!I60/1000</f>
        <v>417.6</v>
      </c>
      <c r="E5" s="48"/>
    </row>
    <row r="6" spans="1:5">
      <c r="A6" s="46" t="s">
        <v>5</v>
      </c>
      <c r="B6" s="46">
        <f>Calcul!I25/1000</f>
        <v>0</v>
      </c>
      <c r="C6" s="46">
        <f>Calcul!I43/1000</f>
        <v>6.4999999999999929</v>
      </c>
      <c r="D6" s="47">
        <f>Calcul!I61/1000</f>
        <v>23</v>
      </c>
      <c r="E6" s="48"/>
    </row>
    <row r="7" spans="1:5">
      <c r="A7" s="46" t="s">
        <v>7</v>
      </c>
      <c r="B7" s="46">
        <f>Calcul!I26/1000</f>
        <v>0</v>
      </c>
      <c r="C7" s="46">
        <f>Calcul!I44/1000</f>
        <v>30.000000000000046</v>
      </c>
      <c r="D7" s="47">
        <f>Calcul!I62/1000</f>
        <v>0</v>
      </c>
      <c r="E7" s="48"/>
    </row>
    <row r="8" spans="1:5">
      <c r="A8" s="46" t="s">
        <v>11</v>
      </c>
      <c r="B8" s="46">
        <f>Calcul!I27/1000</f>
        <v>0</v>
      </c>
      <c r="C8" s="46">
        <f>Calcul!I45/1000</f>
        <v>0</v>
      </c>
      <c r="D8" s="47">
        <f>Calcul!I63/1000</f>
        <v>230</v>
      </c>
      <c r="E8" s="48"/>
    </row>
    <row r="9" spans="1:5">
      <c r="A9" s="46" t="s">
        <v>30</v>
      </c>
      <c r="B9" s="46">
        <f>Calcul!I28/1000</f>
        <v>1421.6</v>
      </c>
      <c r="C9" s="46">
        <f>Calcul!I46/1000</f>
        <v>1398.8999999999999</v>
      </c>
      <c r="D9" s="47">
        <f>Calcul!I64/1000</f>
        <v>1466.6</v>
      </c>
      <c r="E9" s="20" t="s">
        <v>41</v>
      </c>
    </row>
    <row r="42" spans="1:1">
      <c r="A42" s="4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J6" sqref="J6"/>
    </sheetView>
  </sheetViews>
  <sheetFormatPr baseColWidth="10" defaultRowHeight="12.75"/>
  <cols>
    <col min="1" max="1" width="21.42578125" style="20" customWidth="1"/>
    <col min="2" max="2" width="10.85546875" style="20" customWidth="1"/>
    <col min="3" max="9" width="8.5703125" style="20" customWidth="1"/>
    <col min="10" max="16384" width="11.42578125" style="20"/>
  </cols>
  <sheetData>
    <row r="1" spans="1:11">
      <c r="A1" s="67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19"/>
    </row>
    <row r="2" spans="1:11">
      <c r="A2" s="17"/>
      <c r="B2" s="18"/>
      <c r="C2" s="18"/>
      <c r="D2" s="18"/>
      <c r="E2" s="18"/>
      <c r="F2" s="18"/>
      <c r="G2" s="18"/>
      <c r="H2" s="18"/>
      <c r="I2" s="18"/>
      <c r="J2" s="19"/>
      <c r="K2" s="19"/>
    </row>
    <row r="3" spans="1:11">
      <c r="A3" s="21" t="s">
        <v>1</v>
      </c>
      <c r="B3" s="22"/>
      <c r="C3" s="22"/>
      <c r="D3" s="68">
        <v>160</v>
      </c>
      <c r="E3" s="22" t="s">
        <v>2</v>
      </c>
      <c r="F3" s="23"/>
      <c r="G3" s="22"/>
      <c r="H3" s="68">
        <v>5</v>
      </c>
      <c r="I3" s="18"/>
      <c r="J3" s="19"/>
      <c r="K3" s="19"/>
    </row>
    <row r="4" spans="1:11">
      <c r="A4" s="24" t="s">
        <v>3</v>
      </c>
      <c r="B4" s="25"/>
      <c r="C4" s="25"/>
      <c r="D4" s="69">
        <v>100</v>
      </c>
      <c r="E4" s="25" t="s">
        <v>4</v>
      </c>
      <c r="F4" s="26"/>
      <c r="G4" s="25"/>
      <c r="H4" s="69">
        <v>15</v>
      </c>
      <c r="I4" s="18"/>
      <c r="J4" s="19"/>
      <c r="K4" s="19"/>
    </row>
    <row r="5" spans="1:11">
      <c r="A5" s="24" t="s">
        <v>5</v>
      </c>
      <c r="B5" s="25"/>
      <c r="C5" s="25"/>
      <c r="D5" s="69">
        <v>10</v>
      </c>
      <c r="E5" s="25" t="s">
        <v>6</v>
      </c>
      <c r="F5" s="26"/>
      <c r="G5" s="25"/>
      <c r="H5" s="69">
        <v>42</v>
      </c>
      <c r="I5" s="18"/>
      <c r="J5" s="19"/>
      <c r="K5" s="19"/>
    </row>
    <row r="6" spans="1:11">
      <c r="A6" s="24" t="s">
        <v>7</v>
      </c>
      <c r="B6" s="25"/>
      <c r="C6" s="25"/>
      <c r="D6" s="69">
        <v>50</v>
      </c>
      <c r="E6" s="25" t="s">
        <v>8</v>
      </c>
      <c r="F6" s="26"/>
      <c r="G6" s="25"/>
      <c r="H6" s="69">
        <v>1000</v>
      </c>
      <c r="I6" s="18"/>
      <c r="J6" s="19"/>
      <c r="K6" s="19"/>
    </row>
    <row r="7" spans="1:11">
      <c r="A7" s="24" t="s">
        <v>9</v>
      </c>
      <c r="B7" s="25"/>
      <c r="C7" s="25"/>
      <c r="D7" s="69">
        <v>400</v>
      </c>
      <c r="E7" s="25" t="s">
        <v>10</v>
      </c>
      <c r="F7" s="26"/>
      <c r="G7" s="25"/>
      <c r="H7" s="69">
        <v>2000</v>
      </c>
      <c r="I7" s="18"/>
      <c r="J7" s="19"/>
      <c r="K7" s="19"/>
    </row>
    <row r="8" spans="1:11">
      <c r="A8" s="27" t="s">
        <v>45</v>
      </c>
      <c r="B8" s="28"/>
      <c r="C8" s="28"/>
      <c r="D8" s="70">
        <f>D3*6</f>
        <v>960</v>
      </c>
      <c r="E8" s="28" t="s">
        <v>11</v>
      </c>
      <c r="F8" s="29"/>
      <c r="G8" s="28"/>
      <c r="H8" s="70">
        <v>100</v>
      </c>
      <c r="I8" s="18"/>
      <c r="J8" s="19"/>
      <c r="K8" s="19"/>
    </row>
    <row r="9" spans="1:11" ht="13.5" thickBot="1">
      <c r="A9" s="18"/>
      <c r="B9" s="18"/>
      <c r="C9" s="18"/>
      <c r="D9" s="18"/>
      <c r="E9" s="18"/>
      <c r="F9" s="18"/>
      <c r="G9" s="18"/>
      <c r="H9" s="18"/>
      <c r="I9" s="18"/>
      <c r="J9" s="19"/>
      <c r="K9" s="19"/>
    </row>
    <row r="10" spans="1:11" ht="13.5" thickBot="1">
      <c r="A10" s="12"/>
      <c r="B10" s="13"/>
      <c r="C10" s="14" t="s">
        <v>12</v>
      </c>
      <c r="D10" s="14" t="s">
        <v>13</v>
      </c>
      <c r="E10" s="14" t="s">
        <v>14</v>
      </c>
      <c r="F10" s="14" t="s">
        <v>15</v>
      </c>
      <c r="G10" s="14" t="s">
        <v>16</v>
      </c>
      <c r="H10" s="14" t="s">
        <v>17</v>
      </c>
      <c r="I10" s="15" t="s">
        <v>18</v>
      </c>
      <c r="J10" s="30"/>
      <c r="K10" s="30"/>
    </row>
    <row r="11" spans="1:11" ht="13.5" thickBot="1">
      <c r="A11" s="31" t="s">
        <v>19</v>
      </c>
      <c r="B11" s="32"/>
      <c r="C11" s="32">
        <v>1800</v>
      </c>
      <c r="D11" s="32">
        <v>1500</v>
      </c>
      <c r="E11" s="32">
        <v>1100</v>
      </c>
      <c r="F11" s="32">
        <v>900</v>
      </c>
      <c r="G11" s="32">
        <v>1100</v>
      </c>
      <c r="H11" s="32">
        <v>1700</v>
      </c>
      <c r="I11" s="33">
        <f>SUM(C11:H11)</f>
        <v>8100</v>
      </c>
      <c r="K11" s="19"/>
    </row>
    <row r="12" spans="1:11">
      <c r="A12" s="34"/>
      <c r="B12" s="25"/>
      <c r="C12" s="25"/>
      <c r="D12" s="25"/>
      <c r="E12" s="25"/>
      <c r="F12" s="25"/>
      <c r="G12" s="25"/>
      <c r="H12" s="25"/>
      <c r="I12" s="19">
        <f>AVERAGE(C11:H11)</f>
        <v>1350</v>
      </c>
      <c r="K12" s="19"/>
    </row>
    <row r="13" spans="1:11">
      <c r="A13" s="34"/>
      <c r="B13" s="25"/>
      <c r="C13" s="25"/>
      <c r="D13" s="25"/>
      <c r="E13" s="25"/>
      <c r="F13" s="25"/>
      <c r="G13" s="25"/>
      <c r="H13" s="25"/>
      <c r="I13" s="19">
        <f>STDEV(C11:H11)</f>
        <v>367.42346141747669</v>
      </c>
      <c r="J13" s="19"/>
      <c r="K13" s="19"/>
    </row>
    <row r="14" spans="1:11">
      <c r="A14" s="34"/>
      <c r="B14" s="25"/>
      <c r="C14" s="25"/>
      <c r="D14" s="25"/>
      <c r="E14" s="25"/>
      <c r="F14" s="25"/>
      <c r="G14" s="25"/>
      <c r="H14" s="25"/>
      <c r="I14" s="25"/>
      <c r="J14" s="19"/>
      <c r="K14" s="19"/>
    </row>
    <row r="15" spans="1:11" ht="15.75">
      <c r="A15" s="16" t="s">
        <v>46</v>
      </c>
      <c r="B15" s="9" t="s">
        <v>47</v>
      </c>
      <c r="C15" s="10"/>
      <c r="D15" s="10"/>
      <c r="E15" s="10"/>
      <c r="F15" s="10"/>
      <c r="G15" s="10"/>
      <c r="H15" s="10"/>
      <c r="I15" s="11"/>
      <c r="J15" s="19"/>
      <c r="K15" s="19"/>
    </row>
    <row r="16" spans="1:11">
      <c r="A16" s="34" t="s">
        <v>22</v>
      </c>
      <c r="B16" s="25"/>
      <c r="C16" s="35">
        <f t="shared" ref="C16:H16" si="0">C21*$D$3/5</f>
        <v>1374.1021565439487</v>
      </c>
      <c r="D16" s="35">
        <f t="shared" si="0"/>
        <v>1407.9997090686911</v>
      </c>
      <c r="E16" s="35">
        <f t="shared" si="0"/>
        <v>1279.9998141973936</v>
      </c>
      <c r="F16" s="35">
        <f t="shared" si="0"/>
        <v>1279.9994013773564</v>
      </c>
      <c r="G16" s="35">
        <f t="shared" si="0"/>
        <v>1279.9988109867493</v>
      </c>
      <c r="H16" s="35">
        <f t="shared" si="0"/>
        <v>1279.9993175165805</v>
      </c>
      <c r="I16" s="35">
        <f>SUM(C16:H16)</f>
        <v>7902.0992096907194</v>
      </c>
      <c r="J16" s="19"/>
      <c r="K16" s="19"/>
    </row>
    <row r="17" spans="1:11">
      <c r="A17" s="34" t="s">
        <v>36</v>
      </c>
      <c r="B17" s="25"/>
      <c r="C17" s="35">
        <v>50.720592900951956</v>
      </c>
      <c r="D17" s="35">
        <v>147.18019740832793</v>
      </c>
      <c r="E17" s="35">
        <v>0</v>
      </c>
      <c r="F17" s="35">
        <v>0</v>
      </c>
      <c r="G17" s="35">
        <v>0</v>
      </c>
      <c r="H17" s="35">
        <v>0</v>
      </c>
      <c r="I17" s="35">
        <f>SUM(C17:H17)</f>
        <v>197.9007903092799</v>
      </c>
      <c r="J17" s="19"/>
      <c r="K17" s="36"/>
    </row>
    <row r="18" spans="1:11">
      <c r="A18" s="34" t="s">
        <v>23</v>
      </c>
      <c r="B18" s="25">
        <f>$D$7</f>
        <v>400</v>
      </c>
      <c r="C18" s="35">
        <f t="shared" ref="C18:H18" si="1">B18-C11+C17+C16</f>
        <v>24.822749444900637</v>
      </c>
      <c r="D18" s="35">
        <f t="shared" si="1"/>
        <v>80.002655921919768</v>
      </c>
      <c r="E18" s="35">
        <f t="shared" si="1"/>
        <v>260.00247011931333</v>
      </c>
      <c r="F18" s="35">
        <f t="shared" si="1"/>
        <v>640.00187149666976</v>
      </c>
      <c r="G18" s="35">
        <f t="shared" si="1"/>
        <v>820.00068248341904</v>
      </c>
      <c r="H18" s="35">
        <f t="shared" si="1"/>
        <v>399.99999999999955</v>
      </c>
      <c r="I18" s="35">
        <f>AVERAGE(MAX(0,C18),MAX(0,D18),MAX(0,E18),MAX(0,F18),MAX(0,G18),MAX(0,H18))</f>
        <v>370.8050715777037</v>
      </c>
      <c r="J18" s="19"/>
      <c r="K18" s="36"/>
    </row>
    <row r="19" spans="1:11">
      <c r="A19" s="34"/>
      <c r="B19" s="25"/>
      <c r="C19" s="37"/>
      <c r="D19" s="37"/>
      <c r="E19" s="37"/>
      <c r="F19" s="37"/>
      <c r="G19" s="37"/>
      <c r="H19" s="37"/>
      <c r="I19" s="37">
        <f>-AVERAGE(MIN(0,C18),MIN(0,D18),MIN(0,E18),MIN(0,F18),MIN(0,G18),MIN(0,H18))</f>
        <v>0</v>
      </c>
      <c r="J19" s="19"/>
      <c r="K19" s="36"/>
    </row>
    <row r="20" spans="1:11">
      <c r="A20" s="34" t="s">
        <v>24</v>
      </c>
      <c r="B20" s="25"/>
      <c r="C20" s="35">
        <f t="shared" ref="C20:H20" si="2">C16*$H$3</f>
        <v>6870.5107827197435</v>
      </c>
      <c r="D20" s="35">
        <f t="shared" si="2"/>
        <v>7039.9985453434556</v>
      </c>
      <c r="E20" s="35">
        <f t="shared" si="2"/>
        <v>6399.999070986968</v>
      </c>
      <c r="F20" s="35">
        <f t="shared" si="2"/>
        <v>6399.9970068867824</v>
      </c>
      <c r="G20" s="35">
        <f t="shared" si="2"/>
        <v>6399.9940549337462</v>
      </c>
      <c r="H20" s="35">
        <f t="shared" si="2"/>
        <v>6399.9965875829021</v>
      </c>
      <c r="I20" s="35">
        <f>SUM(C20:H20)</f>
        <v>39510.496048453599</v>
      </c>
      <c r="J20" s="19"/>
      <c r="K20" s="19"/>
    </row>
    <row r="21" spans="1:11">
      <c r="A21" s="34" t="s">
        <v>44</v>
      </c>
      <c r="B21" s="25"/>
      <c r="C21" s="38">
        <v>42.940692391998397</v>
      </c>
      <c r="D21" s="38">
        <v>43.999990908396597</v>
      </c>
      <c r="E21" s="38">
        <v>39.999994193668549</v>
      </c>
      <c r="F21" s="38">
        <v>39.999981293042389</v>
      </c>
      <c r="G21" s="38">
        <v>39.999962843335915</v>
      </c>
      <c r="H21" s="38">
        <v>39.999978672393141</v>
      </c>
      <c r="I21" s="35"/>
      <c r="J21" s="19"/>
      <c r="K21" s="19"/>
    </row>
    <row r="22" spans="1:11">
      <c r="A22" s="34" t="s">
        <v>43</v>
      </c>
      <c r="B22" s="25">
        <v>42</v>
      </c>
      <c r="C22" s="37">
        <f t="shared" ref="C22:H22" si="3">INT(C21)+1</f>
        <v>43</v>
      </c>
      <c r="D22" s="37">
        <f t="shared" si="3"/>
        <v>44</v>
      </c>
      <c r="E22" s="37">
        <f t="shared" si="3"/>
        <v>40</v>
      </c>
      <c r="F22" s="37">
        <f t="shared" si="3"/>
        <v>40</v>
      </c>
      <c r="G22" s="37">
        <f t="shared" si="3"/>
        <v>40</v>
      </c>
      <c r="H22" s="37">
        <f t="shared" si="3"/>
        <v>40</v>
      </c>
      <c r="I22" s="37"/>
      <c r="J22" s="19"/>
      <c r="K22" s="19"/>
    </row>
    <row r="23" spans="1:11">
      <c r="A23" s="34" t="s">
        <v>26</v>
      </c>
      <c r="B23" s="25"/>
      <c r="C23" s="37">
        <f t="shared" ref="C23:H23" si="4">C22-B22</f>
        <v>1</v>
      </c>
      <c r="D23" s="37">
        <f t="shared" si="4"/>
        <v>1</v>
      </c>
      <c r="E23" s="37">
        <f t="shared" si="4"/>
        <v>-4</v>
      </c>
      <c r="F23" s="37">
        <f t="shared" si="4"/>
        <v>0</v>
      </c>
      <c r="G23" s="37">
        <f t="shared" si="4"/>
        <v>0</v>
      </c>
      <c r="H23" s="37">
        <f t="shared" si="4"/>
        <v>0</v>
      </c>
      <c r="I23" s="37"/>
      <c r="J23" s="19"/>
      <c r="K23" s="19"/>
    </row>
    <row r="24" spans="1:11">
      <c r="A24" s="34" t="s">
        <v>42</v>
      </c>
      <c r="B24" s="25"/>
      <c r="C24" s="39">
        <f t="shared" ref="C24:H24" si="5">C20/C22</f>
        <v>159.77932052836613</v>
      </c>
      <c r="D24" s="39">
        <f t="shared" si="5"/>
        <v>159.99996693962399</v>
      </c>
      <c r="E24" s="39">
        <f t="shared" si="5"/>
        <v>159.9999767746742</v>
      </c>
      <c r="F24" s="39">
        <f t="shared" si="5"/>
        <v>159.99992517216955</v>
      </c>
      <c r="G24" s="39">
        <f t="shared" si="5"/>
        <v>159.99985137334366</v>
      </c>
      <c r="H24" s="39">
        <f t="shared" si="5"/>
        <v>159.99991468957256</v>
      </c>
      <c r="I24" s="39">
        <f>AVERAGE(C24:H24)</f>
        <v>159.96315924629167</v>
      </c>
      <c r="J24" s="19"/>
      <c r="K24" s="19"/>
    </row>
    <row r="25" spans="1:11">
      <c r="A25" s="34"/>
      <c r="B25" s="25"/>
      <c r="C25" s="37"/>
      <c r="D25" s="37"/>
      <c r="E25" s="37"/>
      <c r="F25" s="37"/>
      <c r="G25" s="37"/>
      <c r="H25" s="37"/>
      <c r="I25" s="37"/>
      <c r="J25" s="19"/>
      <c r="K25" s="19"/>
    </row>
    <row r="26" spans="1:11">
      <c r="A26" s="34" t="s">
        <v>27</v>
      </c>
      <c r="B26" s="25"/>
      <c r="C26" s="40">
        <f t="shared" ref="C26:H26" si="6">IF(C23&gt;0,C23*$H$6,0)</f>
        <v>1000</v>
      </c>
      <c r="D26" s="40">
        <f t="shared" si="6"/>
        <v>1000</v>
      </c>
      <c r="E26" s="40">
        <f t="shared" si="6"/>
        <v>0</v>
      </c>
      <c r="F26" s="40">
        <f t="shared" si="6"/>
        <v>0</v>
      </c>
      <c r="G26" s="40">
        <f t="shared" si="6"/>
        <v>0</v>
      </c>
      <c r="H26" s="40">
        <f t="shared" si="6"/>
        <v>0</v>
      </c>
      <c r="I26" s="40">
        <f t="shared" ref="I26:I32" si="7">SUM(C26:H26)</f>
        <v>2000</v>
      </c>
      <c r="J26" s="19"/>
      <c r="K26" s="19"/>
    </row>
    <row r="27" spans="1:11">
      <c r="A27" s="34" t="s">
        <v>28</v>
      </c>
      <c r="B27" s="25"/>
      <c r="C27" s="40">
        <f t="shared" ref="C27:H27" si="8">IF(C23&lt;0,-C23*$H$7,0)</f>
        <v>0</v>
      </c>
      <c r="D27" s="40">
        <f t="shared" si="8"/>
        <v>0</v>
      </c>
      <c r="E27" s="40">
        <f t="shared" si="8"/>
        <v>8000</v>
      </c>
      <c r="F27" s="40">
        <f t="shared" si="8"/>
        <v>0</v>
      </c>
      <c r="G27" s="40">
        <f t="shared" si="8"/>
        <v>0</v>
      </c>
      <c r="H27" s="40">
        <f t="shared" si="8"/>
        <v>0</v>
      </c>
      <c r="I27" s="40">
        <f t="shared" si="7"/>
        <v>8000</v>
      </c>
      <c r="J27" s="19"/>
      <c r="K27" s="19"/>
    </row>
    <row r="28" spans="1:11">
      <c r="A28" s="34" t="s">
        <v>3</v>
      </c>
      <c r="B28" s="25"/>
      <c r="C28" s="41">
        <f t="shared" ref="C28:H28" si="9">(C16+C17)*$D$4</f>
        <v>142482.27494449005</v>
      </c>
      <c r="D28" s="41">
        <f t="shared" si="9"/>
        <v>155517.99064770192</v>
      </c>
      <c r="E28" s="41">
        <f t="shared" si="9"/>
        <v>127999.98141973936</v>
      </c>
      <c r="F28" s="41">
        <f t="shared" si="9"/>
        <v>127999.94013773564</v>
      </c>
      <c r="G28" s="41">
        <f t="shared" si="9"/>
        <v>127999.88109867493</v>
      </c>
      <c r="H28" s="41">
        <f t="shared" si="9"/>
        <v>127999.93175165805</v>
      </c>
      <c r="I28" s="41">
        <f t="shared" si="7"/>
        <v>810000</v>
      </c>
      <c r="J28" s="19"/>
      <c r="K28" s="19"/>
    </row>
    <row r="29" spans="1:11">
      <c r="A29" s="34" t="s">
        <v>29</v>
      </c>
      <c r="B29" s="25"/>
      <c r="C29" s="41">
        <f t="shared" ref="C29:H29" si="10">C22*$D$3*$H$4</f>
        <v>103200</v>
      </c>
      <c r="D29" s="41">
        <f t="shared" si="10"/>
        <v>105600</v>
      </c>
      <c r="E29" s="41">
        <f t="shared" si="10"/>
        <v>96000</v>
      </c>
      <c r="F29" s="41">
        <f t="shared" si="10"/>
        <v>96000</v>
      </c>
      <c r="G29" s="41">
        <f t="shared" si="10"/>
        <v>96000</v>
      </c>
      <c r="H29" s="41">
        <f t="shared" si="10"/>
        <v>96000</v>
      </c>
      <c r="I29" s="41">
        <f t="shared" si="7"/>
        <v>592800</v>
      </c>
      <c r="J29" s="19"/>
      <c r="K29" s="19"/>
    </row>
    <row r="30" spans="1:11">
      <c r="A30" s="34" t="s">
        <v>5</v>
      </c>
      <c r="B30" s="25"/>
      <c r="C30" s="41">
        <f t="shared" ref="C30:H30" si="11">IF(C18&lt;0,0,C18*$D$5)</f>
        <v>248.22749444900637</v>
      </c>
      <c r="D30" s="41">
        <f t="shared" si="11"/>
        <v>800.02655921919768</v>
      </c>
      <c r="E30" s="41">
        <f t="shared" si="11"/>
        <v>2600.0247011931333</v>
      </c>
      <c r="F30" s="41">
        <f t="shared" si="11"/>
        <v>6400.0187149666981</v>
      </c>
      <c r="G30" s="41">
        <f t="shared" si="11"/>
        <v>8200.0068248341904</v>
      </c>
      <c r="H30" s="41">
        <f t="shared" si="11"/>
        <v>3999.9999999999955</v>
      </c>
      <c r="I30" s="41">
        <f t="shared" si="7"/>
        <v>22248.304294662223</v>
      </c>
      <c r="J30" s="19"/>
      <c r="K30" s="19"/>
    </row>
    <row r="31" spans="1:11">
      <c r="A31" s="34" t="s">
        <v>7</v>
      </c>
      <c r="B31" s="25"/>
      <c r="C31" s="40">
        <f t="shared" ref="C31:H31" si="12">IF(C18&lt;0,-C18*$D$6,0)</f>
        <v>0</v>
      </c>
      <c r="D31" s="40">
        <f t="shared" si="12"/>
        <v>0</v>
      </c>
      <c r="E31" s="40">
        <f t="shared" si="12"/>
        <v>0</v>
      </c>
      <c r="F31" s="40">
        <f t="shared" si="12"/>
        <v>0</v>
      </c>
      <c r="G31" s="40">
        <f t="shared" si="12"/>
        <v>0</v>
      </c>
      <c r="H31" s="40">
        <f t="shared" si="12"/>
        <v>0</v>
      </c>
      <c r="I31" s="40">
        <f t="shared" si="7"/>
        <v>0</v>
      </c>
      <c r="J31" s="19"/>
      <c r="K31" s="19"/>
    </row>
    <row r="32" spans="1:11" ht="13.5" thickBot="1">
      <c r="A32" s="34" t="s">
        <v>11</v>
      </c>
      <c r="B32" s="25"/>
      <c r="C32" s="41">
        <f t="shared" ref="C32:H32" si="13">C17*$H$8</f>
        <v>5072.059290095196</v>
      </c>
      <c r="D32" s="41">
        <f t="shared" si="13"/>
        <v>14718.019740832793</v>
      </c>
      <c r="E32" s="41">
        <f t="shared" si="13"/>
        <v>0</v>
      </c>
      <c r="F32" s="41">
        <f t="shared" si="13"/>
        <v>0</v>
      </c>
      <c r="G32" s="41">
        <f t="shared" si="13"/>
        <v>0</v>
      </c>
      <c r="H32" s="41">
        <f t="shared" si="13"/>
        <v>0</v>
      </c>
      <c r="I32" s="41">
        <f t="shared" si="7"/>
        <v>19790.079030927991</v>
      </c>
      <c r="J32" s="19"/>
      <c r="K32" s="19"/>
    </row>
    <row r="33" spans="1:11" ht="13.5" thickBot="1">
      <c r="A33" s="42" t="s">
        <v>30</v>
      </c>
      <c r="B33" s="43"/>
      <c r="C33" s="44">
        <f t="shared" ref="C33:I33" si="14">SUM(C26:C32)</f>
        <v>252002.56172903426</v>
      </c>
      <c r="D33" s="44">
        <f t="shared" si="14"/>
        <v>277636.03694775392</v>
      </c>
      <c r="E33" s="44">
        <f t="shared" si="14"/>
        <v>234600.00612093249</v>
      </c>
      <c r="F33" s="44">
        <f t="shared" si="14"/>
        <v>230399.95885270232</v>
      </c>
      <c r="G33" s="44">
        <f t="shared" si="14"/>
        <v>232199.88792350912</v>
      </c>
      <c r="H33" s="44">
        <f t="shared" si="14"/>
        <v>227999.93175165803</v>
      </c>
      <c r="I33" s="45">
        <f t="shared" si="14"/>
        <v>1454838.3833255903</v>
      </c>
      <c r="J33" s="19"/>
      <c r="K33" s="19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</vt:lpstr>
      <vt:lpstr>Graph</vt:lpstr>
      <vt:lpstr>Nouv, plan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cp:lastPrinted>2003-10-16T06:13:54Z</cp:lastPrinted>
  <dcterms:created xsi:type="dcterms:W3CDTF">2003-10-15T08:00:39Z</dcterms:created>
  <dcterms:modified xsi:type="dcterms:W3CDTF">2016-02-01T10:48:39Z</dcterms:modified>
</cp:coreProperties>
</file>