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135" windowWidth="11355" windowHeight="8070"/>
  </bookViews>
  <sheets>
    <sheet name="Données" sheetId="2" r:id="rId1"/>
    <sheet name="Moyenne mobile" sheetId="1" r:id="rId2"/>
    <sheet name="Lissage" sheetId="5" r:id="rId3"/>
    <sheet name="Tendance" sheetId="6" r:id="rId4"/>
    <sheet name="Saisonnalité" sheetId="3" r:id="rId5"/>
    <sheet name="Tend+Saison" sheetId="9" r:id="rId6"/>
    <sheet name="Recap" sheetId="8" r:id="rId7"/>
  </sheets>
  <definedNames>
    <definedName name="A._1993">Données!$C$5:$C$16</definedName>
    <definedName name="A._1994">Données!$D$5:$D$16</definedName>
    <definedName name="A._1995">Données!$E$5:$E$16</definedName>
    <definedName name="alpha">Tendance!$F$11</definedName>
    <definedName name="alpha01">Lissage!$F$12</definedName>
    <definedName name="alpha05">Lissage!$K$12</definedName>
    <definedName name="alphaT">'Tend+Saison'!$F$8</definedName>
    <definedName name="beta">Tendance!$L$11</definedName>
    <definedName name="betaT">'Tend+Saison'!$F$10</definedName>
    <definedName name="Demande">Données!$C$21:$C$56</definedName>
    <definedName name="Droite">Données!$I$21:$I$56</definedName>
    <definedName name="MM">Données!$A$5:$A$16</definedName>
    <definedName name="Mois">Données!$H$21:$H$56</definedName>
    <definedName name="Serie93">'Moyenne mobile'!$C$4:$C$15</definedName>
    <definedName name="Serie94">'Moyenne mobile'!$C$16:$C$27</definedName>
    <definedName name="Serie95">'Moyenne mobile'!$C$28:$C$39</definedName>
  </definedNames>
  <calcPr calcId="125725"/>
</workbook>
</file>

<file path=xl/calcChain.xml><?xml version="1.0" encoding="utf-8"?>
<calcChain xmlns="http://schemas.openxmlformats.org/spreadsheetml/2006/main">
  <c r="A6" i="2"/>
  <c r="D21"/>
  <c r="D22"/>
  <c r="E22"/>
  <c r="F22"/>
  <c r="G22"/>
  <c r="H22"/>
  <c r="D23"/>
  <c r="E23" s="1"/>
  <c r="F23"/>
  <c r="G23"/>
  <c r="H23"/>
  <c r="D24"/>
  <c r="E24"/>
  <c r="F24"/>
  <c r="G24"/>
  <c r="H24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D25"/>
  <c r="E25" s="1"/>
  <c r="F25"/>
  <c r="D26"/>
  <c r="F26" s="1"/>
  <c r="D27"/>
  <c r="D28"/>
  <c r="D29"/>
  <c r="G29" s="1"/>
  <c r="D30"/>
  <c r="E30"/>
  <c r="F30"/>
  <c r="G30"/>
  <c r="D31"/>
  <c r="E31" s="1"/>
  <c r="F31"/>
  <c r="G31"/>
  <c r="D32"/>
  <c r="E32"/>
  <c r="F32"/>
  <c r="G32"/>
  <c r="D33"/>
  <c r="E33" s="1"/>
  <c r="F33"/>
  <c r="D34"/>
  <c r="F34" s="1"/>
  <c r="D35"/>
  <c r="D36"/>
  <c r="E36"/>
  <c r="D37"/>
  <c r="G37" s="1"/>
  <c r="E37"/>
  <c r="D38"/>
  <c r="E38"/>
  <c r="F38"/>
  <c r="G38"/>
  <c r="D39"/>
  <c r="E39" s="1"/>
  <c r="F39"/>
  <c r="G39"/>
  <c r="D40"/>
  <c r="E40"/>
  <c r="F40"/>
  <c r="G40"/>
  <c r="D41"/>
  <c r="E41" s="1"/>
  <c r="F41"/>
  <c r="D42"/>
  <c r="F42" s="1"/>
  <c r="D43"/>
  <c r="D44"/>
  <c r="D45"/>
  <c r="G45" s="1"/>
  <c r="E45"/>
  <c r="F45"/>
  <c r="D46"/>
  <c r="E46"/>
  <c r="F46"/>
  <c r="G46"/>
  <c r="D47"/>
  <c r="E47" s="1"/>
  <c r="F47"/>
  <c r="G47"/>
  <c r="D48"/>
  <c r="E48"/>
  <c r="F48"/>
  <c r="G48"/>
  <c r="D49"/>
  <c r="E49" s="1"/>
  <c r="F49"/>
  <c r="D50"/>
  <c r="F50" s="1"/>
  <c r="D51"/>
  <c r="D52"/>
  <c r="D53"/>
  <c r="G53" s="1"/>
  <c r="E53"/>
  <c r="F53"/>
  <c r="D54"/>
  <c r="E54"/>
  <c r="F54"/>
  <c r="G54"/>
  <c r="D55"/>
  <c r="E55" s="1"/>
  <c r="F55"/>
  <c r="G55"/>
  <c r="D56"/>
  <c r="E56"/>
  <c r="F56"/>
  <c r="G56"/>
  <c r="E16" i="5"/>
  <c r="E17" s="1"/>
  <c r="F16"/>
  <c r="G16"/>
  <c r="H16"/>
  <c r="J16"/>
  <c r="L16" s="1"/>
  <c r="C41"/>
  <c r="E16" i="1"/>
  <c r="F16" s="1"/>
  <c r="G16"/>
  <c r="H16"/>
  <c r="J16"/>
  <c r="E17"/>
  <c r="F17" s="1"/>
  <c r="G17"/>
  <c r="H17"/>
  <c r="H41" s="1"/>
  <c r="D6" i="8" s="1"/>
  <c r="J17" i="1"/>
  <c r="E18"/>
  <c r="F18" s="1"/>
  <c r="G18"/>
  <c r="H18"/>
  <c r="J18"/>
  <c r="E19"/>
  <c r="F19" s="1"/>
  <c r="G19"/>
  <c r="H19"/>
  <c r="J19"/>
  <c r="E20"/>
  <c r="F20" s="1"/>
  <c r="G20"/>
  <c r="H20"/>
  <c r="J20"/>
  <c r="E21"/>
  <c r="F21" s="1"/>
  <c r="G21"/>
  <c r="H21"/>
  <c r="J21"/>
  <c r="E22"/>
  <c r="F22" s="1"/>
  <c r="G22"/>
  <c r="H22"/>
  <c r="J22"/>
  <c r="E23"/>
  <c r="F23" s="1"/>
  <c r="G23"/>
  <c r="H23"/>
  <c r="J23"/>
  <c r="E24"/>
  <c r="F24" s="1"/>
  <c r="G24"/>
  <c r="H24"/>
  <c r="J24"/>
  <c r="E25"/>
  <c r="F25" s="1"/>
  <c r="G25"/>
  <c r="H25"/>
  <c r="J25"/>
  <c r="E26"/>
  <c r="F26" s="1"/>
  <c r="G26"/>
  <c r="H26"/>
  <c r="J26"/>
  <c r="E27"/>
  <c r="F27" s="1"/>
  <c r="G27"/>
  <c r="H27"/>
  <c r="J27"/>
  <c r="E28"/>
  <c r="F28" s="1"/>
  <c r="G28"/>
  <c r="H28"/>
  <c r="J28"/>
  <c r="E29"/>
  <c r="F29" s="1"/>
  <c r="G29"/>
  <c r="H29"/>
  <c r="J29"/>
  <c r="E30"/>
  <c r="F30" s="1"/>
  <c r="G30"/>
  <c r="H30"/>
  <c r="J30"/>
  <c r="E31"/>
  <c r="F31" s="1"/>
  <c r="G31"/>
  <c r="H31"/>
  <c r="J31"/>
  <c r="E32"/>
  <c r="F32" s="1"/>
  <c r="G32"/>
  <c r="H32"/>
  <c r="J32"/>
  <c r="E33"/>
  <c r="F33" s="1"/>
  <c r="G33"/>
  <c r="H33"/>
  <c r="J33"/>
  <c r="E34"/>
  <c r="F34" s="1"/>
  <c r="G34"/>
  <c r="H34"/>
  <c r="J34"/>
  <c r="E35"/>
  <c r="F35" s="1"/>
  <c r="G35"/>
  <c r="H35"/>
  <c r="J35"/>
  <c r="E36"/>
  <c r="F36" s="1"/>
  <c r="G36"/>
  <c r="H36"/>
  <c r="J36"/>
  <c r="E37"/>
  <c r="F37" s="1"/>
  <c r="G37"/>
  <c r="H37"/>
  <c r="J37"/>
  <c r="E38"/>
  <c r="F38" s="1"/>
  <c r="G38"/>
  <c r="H38"/>
  <c r="J38"/>
  <c r="E39"/>
  <c r="F39" s="1"/>
  <c r="G39"/>
  <c r="H39"/>
  <c r="J39"/>
  <c r="C41"/>
  <c r="G41"/>
  <c r="C6" i="8"/>
  <c r="M2" i="3"/>
  <c r="J16" s="1"/>
  <c r="N2"/>
  <c r="M3"/>
  <c r="J17" s="1"/>
  <c r="N3"/>
  <c r="M4"/>
  <c r="N4"/>
  <c r="M5"/>
  <c r="N5"/>
  <c r="N6"/>
  <c r="M7"/>
  <c r="J21" s="1"/>
  <c r="N7"/>
  <c r="M8"/>
  <c r="J22" s="1"/>
  <c r="N8"/>
  <c r="N9"/>
  <c r="M10"/>
  <c r="N10"/>
  <c r="M11"/>
  <c r="J25" s="1"/>
  <c r="N11"/>
  <c r="M12"/>
  <c r="N12"/>
  <c r="M13"/>
  <c r="J27" s="1"/>
  <c r="N13"/>
  <c r="K14"/>
  <c r="M9" s="1"/>
  <c r="J23" s="1"/>
  <c r="E16"/>
  <c r="F16" s="1"/>
  <c r="G16"/>
  <c r="H16"/>
  <c r="E17"/>
  <c r="F17"/>
  <c r="G17"/>
  <c r="H17"/>
  <c r="E18"/>
  <c r="F18"/>
  <c r="J18"/>
  <c r="J19"/>
  <c r="J24"/>
  <c r="J26"/>
  <c r="C41"/>
  <c r="M2" i="9"/>
  <c r="M3"/>
  <c r="M4"/>
  <c r="M5"/>
  <c r="M6"/>
  <c r="M7"/>
  <c r="M8"/>
  <c r="M9"/>
  <c r="M10"/>
  <c r="M11"/>
  <c r="M12"/>
  <c r="M13"/>
  <c r="K14"/>
  <c r="E16"/>
  <c r="K16"/>
  <c r="N16" s="1"/>
  <c r="M16"/>
  <c r="C41"/>
  <c r="E16" i="6"/>
  <c r="H16" s="1"/>
  <c r="J16"/>
  <c r="L16"/>
  <c r="M16" s="1"/>
  <c r="J17" s="1"/>
  <c r="C41"/>
  <c r="E18" i="5" l="1"/>
  <c r="H17"/>
  <c r="G17"/>
  <c r="F17"/>
  <c r="K16" i="3"/>
  <c r="L16" s="1"/>
  <c r="N6" i="9"/>
  <c r="J32" s="1"/>
  <c r="O16"/>
  <c r="N3"/>
  <c r="J29" s="1"/>
  <c r="N8"/>
  <c r="J34" s="1"/>
  <c r="L2"/>
  <c r="J16" s="1"/>
  <c r="K17" s="1"/>
  <c r="L10"/>
  <c r="J24" s="1"/>
  <c r="L7"/>
  <c r="J21" s="1"/>
  <c r="L8"/>
  <c r="J22" s="1"/>
  <c r="L13"/>
  <c r="J27" s="1"/>
  <c r="L5"/>
  <c r="J19" s="1"/>
  <c r="M39" i="1"/>
  <c r="L39"/>
  <c r="K39"/>
  <c r="M31"/>
  <c r="K31"/>
  <c r="L31"/>
  <c r="M25"/>
  <c r="L25"/>
  <c r="K25"/>
  <c r="M21"/>
  <c r="L21"/>
  <c r="K21"/>
  <c r="M34"/>
  <c r="L34"/>
  <c r="K34"/>
  <c r="M30"/>
  <c r="L30"/>
  <c r="K30"/>
  <c r="M26"/>
  <c r="K26"/>
  <c r="L26"/>
  <c r="M20"/>
  <c r="L20"/>
  <c r="K20"/>
  <c r="M16"/>
  <c r="L16"/>
  <c r="K16"/>
  <c r="F44" i="2"/>
  <c r="G44"/>
  <c r="N2" i="9"/>
  <c r="J28" s="1"/>
  <c r="O11" i="3"/>
  <c r="J37" s="1"/>
  <c r="E17" i="6"/>
  <c r="L12" i="9"/>
  <c r="J26" s="1"/>
  <c r="L4"/>
  <c r="J18" s="1"/>
  <c r="K17" i="6"/>
  <c r="L17" s="1"/>
  <c r="M17" s="1"/>
  <c r="G16"/>
  <c r="L9" i="9"/>
  <c r="J23" s="1"/>
  <c r="O3" i="3"/>
  <c r="J29" s="1"/>
  <c r="F58" i="2"/>
  <c r="C5" i="8" s="1"/>
  <c r="F29" i="2"/>
  <c r="G36"/>
  <c r="F36"/>
  <c r="F21"/>
  <c r="G21"/>
  <c r="E21"/>
  <c r="I20"/>
  <c r="F28"/>
  <c r="G28"/>
  <c r="G51"/>
  <c r="F51"/>
  <c r="E51"/>
  <c r="M37" i="1"/>
  <c r="L37"/>
  <c r="K37"/>
  <c r="M33"/>
  <c r="K33"/>
  <c r="L33"/>
  <c r="M27"/>
  <c r="L27"/>
  <c r="K27"/>
  <c r="M19"/>
  <c r="K19"/>
  <c r="L19"/>
  <c r="F52" i="2"/>
  <c r="G52"/>
  <c r="G16" i="9"/>
  <c r="F16"/>
  <c r="E17"/>
  <c r="H16"/>
  <c r="G43" i="2"/>
  <c r="F43"/>
  <c r="E43"/>
  <c r="H18" i="3"/>
  <c r="G18"/>
  <c r="E19"/>
  <c r="L6" i="9"/>
  <c r="J20" s="1"/>
  <c r="N16" i="6"/>
  <c r="M14" i="9"/>
  <c r="N11" s="1"/>
  <c r="J37" s="1"/>
  <c r="L3"/>
  <c r="J17" s="1"/>
  <c r="F41" i="1"/>
  <c r="B6" i="8" s="1"/>
  <c r="O16" i="6"/>
  <c r="O8" i="3"/>
  <c r="J34" s="1"/>
  <c r="E52" i="2"/>
  <c r="P16" i="6"/>
  <c r="O9" i="3"/>
  <c r="J35" s="1"/>
  <c r="N14"/>
  <c r="F37" i="2"/>
  <c r="E28"/>
  <c r="M35" i="1"/>
  <c r="L35"/>
  <c r="K35"/>
  <c r="M29"/>
  <c r="K29"/>
  <c r="L29"/>
  <c r="M23"/>
  <c r="L23"/>
  <c r="K23"/>
  <c r="M17"/>
  <c r="K17"/>
  <c r="L17"/>
  <c r="G27" i="2"/>
  <c r="E27"/>
  <c r="F27"/>
  <c r="M38" i="1"/>
  <c r="K38"/>
  <c r="L38"/>
  <c r="M36"/>
  <c r="K36"/>
  <c r="L36"/>
  <c r="M32"/>
  <c r="L32"/>
  <c r="K32"/>
  <c r="M28"/>
  <c r="K28"/>
  <c r="L28"/>
  <c r="M24"/>
  <c r="K24"/>
  <c r="L24"/>
  <c r="M22"/>
  <c r="K22"/>
  <c r="L22"/>
  <c r="M18"/>
  <c r="L18"/>
  <c r="K18"/>
  <c r="G35" i="2"/>
  <c r="E35"/>
  <c r="F35"/>
  <c r="N10" i="9"/>
  <c r="J36" s="1"/>
  <c r="L11"/>
  <c r="J25" s="1"/>
  <c r="F16" i="6"/>
  <c r="N12" i="9"/>
  <c r="J38" s="1"/>
  <c r="N4"/>
  <c r="J30" s="1"/>
  <c r="E44" i="2"/>
  <c r="E29"/>
  <c r="I19"/>
  <c r="M16" i="5"/>
  <c r="G50" i="2"/>
  <c r="G42"/>
  <c r="G34"/>
  <c r="G26"/>
  <c r="G49"/>
  <c r="G41"/>
  <c r="G33"/>
  <c r="G25"/>
  <c r="A7"/>
  <c r="M6" i="3"/>
  <c r="J20" s="1"/>
  <c r="K16" i="5"/>
  <c r="E50" i="2"/>
  <c r="E42"/>
  <c r="E34"/>
  <c r="E58" s="1"/>
  <c r="B5" i="8" s="1"/>
  <c r="E26" i="2"/>
  <c r="J17" i="5"/>
  <c r="E19" l="1"/>
  <c r="H18"/>
  <c r="G18"/>
  <c r="F18"/>
  <c r="P17" i="6"/>
  <c r="O17"/>
  <c r="J18"/>
  <c r="N17"/>
  <c r="M16" i="3"/>
  <c r="O16"/>
  <c r="N16"/>
  <c r="Q16" i="9"/>
  <c r="P16"/>
  <c r="R16"/>
  <c r="A8" i="2"/>
  <c r="F19" i="3"/>
  <c r="H19"/>
  <c r="G19"/>
  <c r="E20"/>
  <c r="G58" i="2"/>
  <c r="D5" i="8" s="1"/>
  <c r="M41" i="1"/>
  <c r="D7" i="8" s="1"/>
  <c r="N9" i="9"/>
  <c r="J35" s="1"/>
  <c r="K17" i="3"/>
  <c r="E18" i="9"/>
  <c r="H17"/>
  <c r="F17"/>
  <c r="G17"/>
  <c r="L17"/>
  <c r="M17" s="1"/>
  <c r="N17"/>
  <c r="O17" s="1"/>
  <c r="K41" i="1"/>
  <c r="B7" i="8" s="1"/>
  <c r="L17" i="5"/>
  <c r="J18"/>
  <c r="K17"/>
  <c r="M17"/>
  <c r="O6" i="3"/>
  <c r="J32" s="1"/>
  <c r="O5"/>
  <c r="J31" s="1"/>
  <c r="O12"/>
  <c r="J38" s="1"/>
  <c r="O4"/>
  <c r="J30" s="1"/>
  <c r="O10"/>
  <c r="J36" s="1"/>
  <c r="O13"/>
  <c r="J39" s="1"/>
  <c r="O2"/>
  <c r="J28" s="1"/>
  <c r="N7" i="9"/>
  <c r="J33" s="1"/>
  <c r="N5"/>
  <c r="J31" s="1"/>
  <c r="N13"/>
  <c r="J39" s="1"/>
  <c r="L41" i="1"/>
  <c r="C7" i="8" s="1"/>
  <c r="G17" i="6"/>
  <c r="F17"/>
  <c r="H17"/>
  <c r="E18"/>
  <c r="I21" i="2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K18" i="9"/>
  <c r="O7" i="3"/>
  <c r="J33" s="1"/>
  <c r="E20" i="5" l="1"/>
  <c r="H19"/>
  <c r="G19"/>
  <c r="F19"/>
  <c r="N18" i="9"/>
  <c r="L18"/>
  <c r="M18" s="1"/>
  <c r="L18" i="5"/>
  <c r="J19"/>
  <c r="K18"/>
  <c r="M18"/>
  <c r="F20" i="3"/>
  <c r="E21"/>
  <c r="G20"/>
  <c r="H20"/>
  <c r="Q17" i="9"/>
  <c r="R17"/>
  <c r="P17"/>
  <c r="K18" i="6"/>
  <c r="L18" s="1"/>
  <c r="M18" s="1"/>
  <c r="F18" i="9"/>
  <c r="H18"/>
  <c r="G18"/>
  <c r="E19"/>
  <c r="F18" i="6"/>
  <c r="G18"/>
  <c r="H18"/>
  <c r="E19"/>
  <c r="L17" i="3"/>
  <c r="K18"/>
  <c r="A9" i="2"/>
  <c r="E21" i="5" l="1"/>
  <c r="H20"/>
  <c r="G20"/>
  <c r="F20"/>
  <c r="J19" i="6"/>
  <c r="O18"/>
  <c r="P18"/>
  <c r="N18"/>
  <c r="M17" i="3"/>
  <c r="O17"/>
  <c r="N17"/>
  <c r="H21"/>
  <c r="G21"/>
  <c r="F21"/>
  <c r="E22"/>
  <c r="H19" i="9"/>
  <c r="E20"/>
  <c r="F19"/>
  <c r="G19"/>
  <c r="K19" i="3"/>
  <c r="L18"/>
  <c r="O18" i="9"/>
  <c r="K19"/>
  <c r="H19" i="6"/>
  <c r="E20"/>
  <c r="G19"/>
  <c r="F19"/>
  <c r="A10" i="2"/>
  <c r="L19" i="5"/>
  <c r="K19"/>
  <c r="J20"/>
  <c r="M19"/>
  <c r="E22" l="1"/>
  <c r="H21"/>
  <c r="G21"/>
  <c r="F21"/>
  <c r="L19" i="9"/>
  <c r="M19" s="1"/>
  <c r="N19" s="1"/>
  <c r="M19" i="6"/>
  <c r="K19"/>
  <c r="L19" s="1"/>
  <c r="F20"/>
  <c r="H20"/>
  <c r="E21"/>
  <c r="G20"/>
  <c r="K20" i="3"/>
  <c r="L19"/>
  <c r="F20" i="9"/>
  <c r="G20"/>
  <c r="E21"/>
  <c r="H20"/>
  <c r="L20" i="5"/>
  <c r="J21"/>
  <c r="K20"/>
  <c r="M20"/>
  <c r="M18" i="3"/>
  <c r="O18"/>
  <c r="N18"/>
  <c r="A11" i="2"/>
  <c r="Q18" i="9"/>
  <c r="P18"/>
  <c r="R18"/>
  <c r="H22" i="3"/>
  <c r="G22"/>
  <c r="E23"/>
  <c r="F22"/>
  <c r="E23" i="5" l="1"/>
  <c r="H22"/>
  <c r="G22"/>
  <c r="F22"/>
  <c r="O19" i="9"/>
  <c r="K20"/>
  <c r="H21" i="6"/>
  <c r="F21"/>
  <c r="G21"/>
  <c r="E22"/>
  <c r="L20" i="3"/>
  <c r="K21"/>
  <c r="P19" i="6"/>
  <c r="J20"/>
  <c r="O19"/>
  <c r="N19"/>
  <c r="F23" i="3"/>
  <c r="H23"/>
  <c r="G23"/>
  <c r="E24"/>
  <c r="G21" i="9"/>
  <c r="F21"/>
  <c r="H21"/>
  <c r="E22"/>
  <c r="O19" i="3"/>
  <c r="N19"/>
  <c r="M19"/>
  <c r="A12" i="2"/>
  <c r="A13" s="1"/>
  <c r="A14" s="1"/>
  <c r="A15" s="1"/>
  <c r="A16" s="1"/>
  <c r="D17"/>
  <c r="C18"/>
  <c r="E18"/>
  <c r="E17"/>
  <c r="L21" i="5"/>
  <c r="J22"/>
  <c r="K21"/>
  <c r="M21"/>
  <c r="C17" i="2"/>
  <c r="E24" i="5" l="1"/>
  <c r="H23"/>
  <c r="G23"/>
  <c r="F23"/>
  <c r="R19" i="9"/>
  <c r="Q19"/>
  <c r="P19"/>
  <c r="H22" i="6"/>
  <c r="E23"/>
  <c r="G22"/>
  <c r="F22"/>
  <c r="L20" i="9"/>
  <c r="M20" s="1"/>
  <c r="N20" s="1"/>
  <c r="L22" i="5"/>
  <c r="K22"/>
  <c r="J23"/>
  <c r="M22"/>
  <c r="M20" i="3"/>
  <c r="O20"/>
  <c r="N20"/>
  <c r="F24"/>
  <c r="H24"/>
  <c r="G24"/>
  <c r="E25"/>
  <c r="L21"/>
  <c r="K22"/>
  <c r="J46" i="2"/>
  <c r="J54"/>
  <c r="J56"/>
  <c r="J47"/>
  <c r="J55"/>
  <c r="J48"/>
  <c r="J52"/>
  <c r="J45"/>
  <c r="J53"/>
  <c r="J49"/>
  <c r="J50"/>
  <c r="J51"/>
  <c r="E23" i="9"/>
  <c r="H22"/>
  <c r="G22"/>
  <c r="F22"/>
  <c r="J22" i="2"/>
  <c r="J30"/>
  <c r="J24"/>
  <c r="J32"/>
  <c r="J23"/>
  <c r="J31"/>
  <c r="J28"/>
  <c r="J21"/>
  <c r="J29"/>
  <c r="J27"/>
  <c r="J26"/>
  <c r="J25"/>
  <c r="K20" i="6"/>
  <c r="L20" s="1"/>
  <c r="M20" s="1"/>
  <c r="D18" i="2"/>
  <c r="E25" i="5" l="1"/>
  <c r="H24"/>
  <c r="G24"/>
  <c r="F24"/>
  <c r="O20" i="9"/>
  <c r="K21"/>
  <c r="E26" i="3"/>
  <c r="H25"/>
  <c r="G25"/>
  <c r="F25"/>
  <c r="O20" i="6"/>
  <c r="N20"/>
  <c r="J21"/>
  <c r="P20"/>
  <c r="M21" i="3"/>
  <c r="O21"/>
  <c r="N21"/>
  <c r="G23" i="6"/>
  <c r="F23"/>
  <c r="E24"/>
  <c r="H23"/>
  <c r="G23" i="9"/>
  <c r="F23"/>
  <c r="E24"/>
  <c r="H23"/>
  <c r="K23" i="3"/>
  <c r="L22"/>
  <c r="J38" i="2"/>
  <c r="J40"/>
  <c r="J39"/>
  <c r="J36"/>
  <c r="J44"/>
  <c r="J37"/>
  <c r="J43"/>
  <c r="J33"/>
  <c r="J35"/>
  <c r="J41"/>
  <c r="J34"/>
  <c r="J42"/>
  <c r="L23" i="5"/>
  <c r="J24"/>
  <c r="K23"/>
  <c r="M23"/>
  <c r="E26" l="1"/>
  <c r="H25"/>
  <c r="G25"/>
  <c r="F25"/>
  <c r="N21" i="9"/>
  <c r="L21"/>
  <c r="M21" s="1"/>
  <c r="H26" i="3"/>
  <c r="G26"/>
  <c r="E27"/>
  <c r="F26"/>
  <c r="K21" i="6"/>
  <c r="L21" s="1"/>
  <c r="M21" s="1"/>
  <c r="H24" i="9"/>
  <c r="G24"/>
  <c r="E25"/>
  <c r="F24"/>
  <c r="L24" i="5"/>
  <c r="K24"/>
  <c r="J25"/>
  <c r="M24"/>
  <c r="L23" i="3"/>
  <c r="K24"/>
  <c r="R20" i="9"/>
  <c r="Q20"/>
  <c r="P20"/>
  <c r="O22" i="3"/>
  <c r="M22"/>
  <c r="N22"/>
  <c r="G24" i="6"/>
  <c r="F24"/>
  <c r="E25"/>
  <c r="H24"/>
  <c r="E27" i="5" l="1"/>
  <c r="H26"/>
  <c r="G26"/>
  <c r="F26"/>
  <c r="N21" i="6"/>
  <c r="P21"/>
  <c r="J22"/>
  <c r="O21"/>
  <c r="O23" i="3"/>
  <c r="N23"/>
  <c r="M23"/>
  <c r="G25" i="6"/>
  <c r="F25"/>
  <c r="E26"/>
  <c r="H25"/>
  <c r="L24" i="3"/>
  <c r="K25"/>
  <c r="E26" i="9"/>
  <c r="H25"/>
  <c r="G25"/>
  <c r="F25"/>
  <c r="L25" i="5"/>
  <c r="J26"/>
  <c r="K25"/>
  <c r="M25"/>
  <c r="O21" i="9"/>
  <c r="K22"/>
  <c r="F27" i="3"/>
  <c r="H27"/>
  <c r="E28"/>
  <c r="G27"/>
  <c r="E28" i="5" l="1"/>
  <c r="H27"/>
  <c r="G27"/>
  <c r="F27"/>
  <c r="K22" i="6"/>
  <c r="L22" s="1"/>
  <c r="M22" s="1"/>
  <c r="F28" i="3"/>
  <c r="E29"/>
  <c r="H28"/>
  <c r="G28"/>
  <c r="F26" i="9"/>
  <c r="H26"/>
  <c r="G26"/>
  <c r="E27"/>
  <c r="F26" i="6"/>
  <c r="H26"/>
  <c r="G26"/>
  <c r="E27"/>
  <c r="P21" i="9"/>
  <c r="R21"/>
  <c r="Q21"/>
  <c r="L26" i="5"/>
  <c r="K26"/>
  <c r="J27"/>
  <c r="M26"/>
  <c r="M24" i="3"/>
  <c r="O24"/>
  <c r="N24"/>
  <c r="L25"/>
  <c r="K26"/>
  <c r="L22" i="9"/>
  <c r="M22" s="1"/>
  <c r="N22" s="1"/>
  <c r="E29" i="5" l="1"/>
  <c r="H28"/>
  <c r="G28"/>
  <c r="F28"/>
  <c r="O22" i="9"/>
  <c r="K23"/>
  <c r="P22" i="6"/>
  <c r="N22"/>
  <c r="J23"/>
  <c r="O22"/>
  <c r="M25" i="3"/>
  <c r="O25"/>
  <c r="N25"/>
  <c r="H27" i="9"/>
  <c r="E28"/>
  <c r="G27"/>
  <c r="F27"/>
  <c r="G29" i="3"/>
  <c r="F29"/>
  <c r="E30"/>
  <c r="H29"/>
  <c r="E28" i="6"/>
  <c r="H27"/>
  <c r="G27"/>
  <c r="F27"/>
  <c r="L27" i="5"/>
  <c r="J28"/>
  <c r="K27"/>
  <c r="M27"/>
  <c r="L26" i="3"/>
  <c r="K27"/>
  <c r="E30" i="5" l="1"/>
  <c r="H29"/>
  <c r="G29"/>
  <c r="F29"/>
  <c r="L27" i="3"/>
  <c r="K28"/>
  <c r="K23" i="6"/>
  <c r="L23" s="1"/>
  <c r="M23" s="1"/>
  <c r="R22" i="9"/>
  <c r="P22"/>
  <c r="Q22"/>
  <c r="L23"/>
  <c r="M23" s="1"/>
  <c r="N23" s="1"/>
  <c r="F28" i="6"/>
  <c r="H28"/>
  <c r="E29"/>
  <c r="G28"/>
  <c r="F28" i="9"/>
  <c r="E29"/>
  <c r="H28"/>
  <c r="G28"/>
  <c r="L28" i="5"/>
  <c r="K28"/>
  <c r="J29"/>
  <c r="M28"/>
  <c r="M26" i="3"/>
  <c r="O26"/>
  <c r="N26"/>
  <c r="H30"/>
  <c r="G30"/>
  <c r="E31"/>
  <c r="F30"/>
  <c r="E31" i="5" l="1"/>
  <c r="H30"/>
  <c r="G30"/>
  <c r="F30"/>
  <c r="N23" i="6"/>
  <c r="J24"/>
  <c r="P23"/>
  <c r="O23"/>
  <c r="O23" i="9"/>
  <c r="K24"/>
  <c r="E30" i="6"/>
  <c r="G29"/>
  <c r="F29"/>
  <c r="H29"/>
  <c r="O27" i="3"/>
  <c r="N27"/>
  <c r="M27"/>
  <c r="F31"/>
  <c r="H31"/>
  <c r="G31"/>
  <c r="E32"/>
  <c r="L29" i="5"/>
  <c r="J30"/>
  <c r="K29"/>
  <c r="M29"/>
  <c r="L28" i="3"/>
  <c r="K29"/>
  <c r="G29" i="9"/>
  <c r="F29"/>
  <c r="H29"/>
  <c r="E30"/>
  <c r="E32" i="5" l="1"/>
  <c r="H31"/>
  <c r="G31"/>
  <c r="F31"/>
  <c r="K24" i="6"/>
  <c r="L24" s="1"/>
  <c r="M24" s="1"/>
  <c r="E31" i="9"/>
  <c r="G30"/>
  <c r="H30"/>
  <c r="F30"/>
  <c r="N24"/>
  <c r="L24"/>
  <c r="M24" s="1"/>
  <c r="L30" i="5"/>
  <c r="K30"/>
  <c r="J31"/>
  <c r="M30"/>
  <c r="P23" i="9"/>
  <c r="Q23"/>
  <c r="R23"/>
  <c r="H30" i="6"/>
  <c r="E31"/>
  <c r="G30"/>
  <c r="F30"/>
  <c r="F32" i="3"/>
  <c r="H32"/>
  <c r="G32"/>
  <c r="E33"/>
  <c r="M28"/>
  <c r="O28"/>
  <c r="N28"/>
  <c r="L29"/>
  <c r="K30"/>
  <c r="E33" i="5" l="1"/>
  <c r="H32"/>
  <c r="G32"/>
  <c r="F32"/>
  <c r="J25" i="6"/>
  <c r="P24"/>
  <c r="N24"/>
  <c r="O24"/>
  <c r="G31"/>
  <c r="H31"/>
  <c r="E32"/>
  <c r="F31"/>
  <c r="M29" i="3"/>
  <c r="O29"/>
  <c r="N29"/>
  <c r="L31" i="5"/>
  <c r="J32"/>
  <c r="K31"/>
  <c r="M31"/>
  <c r="L30" i="3"/>
  <c r="K31"/>
  <c r="O24" i="9"/>
  <c r="K25"/>
  <c r="G31"/>
  <c r="F31"/>
  <c r="H31"/>
  <c r="E32"/>
  <c r="E34" i="3"/>
  <c r="F33"/>
  <c r="H33"/>
  <c r="G33"/>
  <c r="F33" i="5" l="1"/>
  <c r="E34"/>
  <c r="H33"/>
  <c r="G33"/>
  <c r="L32"/>
  <c r="K32"/>
  <c r="J33"/>
  <c r="M32"/>
  <c r="L31" i="3"/>
  <c r="K32"/>
  <c r="K25" i="6"/>
  <c r="L25" s="1"/>
  <c r="M25" s="1"/>
  <c r="Q24" i="9"/>
  <c r="P24"/>
  <c r="R24"/>
  <c r="L25"/>
  <c r="M25" s="1"/>
  <c r="N25" s="1"/>
  <c r="H32"/>
  <c r="G32"/>
  <c r="E33"/>
  <c r="F32"/>
  <c r="H32" i="6"/>
  <c r="G32"/>
  <c r="F32"/>
  <c r="E33"/>
  <c r="H34" i="3"/>
  <c r="G34"/>
  <c r="E35"/>
  <c r="F34"/>
  <c r="N30"/>
  <c r="O30"/>
  <c r="M30"/>
  <c r="E35" i="5" l="1"/>
  <c r="H34"/>
  <c r="G34"/>
  <c r="F34"/>
  <c r="O25" i="9"/>
  <c r="K26"/>
  <c r="P25" i="6"/>
  <c r="O25"/>
  <c r="N25"/>
  <c r="J26"/>
  <c r="L33" i="5"/>
  <c r="J34"/>
  <c r="K33"/>
  <c r="M33"/>
  <c r="G33" i="6"/>
  <c r="F33"/>
  <c r="E34"/>
  <c r="H33"/>
  <c r="O31" i="3"/>
  <c r="N31"/>
  <c r="M31"/>
  <c r="L32"/>
  <c r="K33"/>
  <c r="F35"/>
  <c r="H35"/>
  <c r="G35"/>
  <c r="E36"/>
  <c r="E34" i="9"/>
  <c r="H33"/>
  <c r="G33"/>
  <c r="F33"/>
  <c r="E36" i="5" l="1"/>
  <c r="H35"/>
  <c r="G35"/>
  <c r="F35"/>
  <c r="M32" i="3"/>
  <c r="O32"/>
  <c r="N32"/>
  <c r="L33"/>
  <c r="K34"/>
  <c r="R25" i="9"/>
  <c r="Q25"/>
  <c r="P25"/>
  <c r="F36" i="3"/>
  <c r="E37"/>
  <c r="H36"/>
  <c r="G36"/>
  <c r="L26" i="9"/>
  <c r="M26" s="1"/>
  <c r="N26" s="1"/>
  <c r="F34" i="6"/>
  <c r="G34"/>
  <c r="H34"/>
  <c r="E35"/>
  <c r="K26"/>
  <c r="L26" s="1"/>
  <c r="M26" s="1"/>
  <c r="F34" i="9"/>
  <c r="H34"/>
  <c r="G34"/>
  <c r="E35"/>
  <c r="L34" i="5"/>
  <c r="K34"/>
  <c r="J35"/>
  <c r="M34"/>
  <c r="E37" l="1"/>
  <c r="H36"/>
  <c r="G36"/>
  <c r="F36"/>
  <c r="L35"/>
  <c r="J36"/>
  <c r="K35"/>
  <c r="M35"/>
  <c r="L34" i="3"/>
  <c r="K35"/>
  <c r="H35" i="6"/>
  <c r="E36"/>
  <c r="F35"/>
  <c r="G35"/>
  <c r="G37" i="3"/>
  <c r="F37"/>
  <c r="E38"/>
  <c r="H37"/>
  <c r="J27" i="6"/>
  <c r="O26"/>
  <c r="P26"/>
  <c r="N26"/>
  <c r="M33" i="3"/>
  <c r="N33"/>
  <c r="O33"/>
  <c r="O26" i="9"/>
  <c r="K27"/>
  <c r="H35"/>
  <c r="F35"/>
  <c r="G35"/>
  <c r="E36"/>
  <c r="E38" i="5" l="1"/>
  <c r="F37"/>
  <c r="H37"/>
  <c r="G37"/>
  <c r="F36" i="9"/>
  <c r="H36"/>
  <c r="E37"/>
  <c r="G36"/>
  <c r="L35" i="3"/>
  <c r="K36"/>
  <c r="L36" i="5"/>
  <c r="K36"/>
  <c r="J37"/>
  <c r="M36"/>
  <c r="K27" i="6"/>
  <c r="L27" s="1"/>
  <c r="M27" s="1"/>
  <c r="H38" i="3"/>
  <c r="G38"/>
  <c r="E39"/>
  <c r="F38"/>
  <c r="O34"/>
  <c r="N34"/>
  <c r="M34"/>
  <c r="Q26" i="9"/>
  <c r="P26"/>
  <c r="R26"/>
  <c r="L27"/>
  <c r="M27" s="1"/>
  <c r="N27" s="1"/>
  <c r="F36" i="6"/>
  <c r="H36"/>
  <c r="E37"/>
  <c r="G36"/>
  <c r="E39" i="5" l="1"/>
  <c r="H38"/>
  <c r="G38"/>
  <c r="F38"/>
  <c r="O27" i="9"/>
  <c r="K28"/>
  <c r="F37" i="6"/>
  <c r="G37"/>
  <c r="E38"/>
  <c r="H37"/>
  <c r="G37" i="9"/>
  <c r="F37"/>
  <c r="H37"/>
  <c r="E38"/>
  <c r="L36" i="3"/>
  <c r="K37"/>
  <c r="L37" i="5"/>
  <c r="J38"/>
  <c r="K37"/>
  <c r="M37"/>
  <c r="N27" i="6"/>
  <c r="P27"/>
  <c r="O27"/>
  <c r="J28"/>
  <c r="O35" i="3"/>
  <c r="N35"/>
  <c r="M35"/>
  <c r="F39"/>
  <c r="F41" s="1"/>
  <c r="H39"/>
  <c r="H41" s="1"/>
  <c r="G39"/>
  <c r="G41" s="1"/>
  <c r="H39" i="5" l="1"/>
  <c r="H41" s="1"/>
  <c r="D8" i="8" s="1"/>
  <c r="G39" i="5"/>
  <c r="G41" s="1"/>
  <c r="C8" i="8" s="1"/>
  <c r="F39" i="5"/>
  <c r="F41" s="1"/>
  <c r="B8" i="8" s="1"/>
  <c r="E39" i="9"/>
  <c r="F38"/>
  <c r="H38"/>
  <c r="G38"/>
  <c r="L38" i="5"/>
  <c r="K38"/>
  <c r="J39"/>
  <c r="M38"/>
  <c r="K28" i="6"/>
  <c r="L28" s="1"/>
  <c r="M28" s="1"/>
  <c r="R27" i="9"/>
  <c r="Q27"/>
  <c r="P27"/>
  <c r="L28"/>
  <c r="M28" s="1"/>
  <c r="N28" s="1"/>
  <c r="M36" i="3"/>
  <c r="O36"/>
  <c r="N36"/>
  <c r="L37"/>
  <c r="K38"/>
  <c r="H38" i="6"/>
  <c r="E39"/>
  <c r="G38"/>
  <c r="F38"/>
  <c r="O28" l="1"/>
  <c r="N28"/>
  <c r="P28"/>
  <c r="J29"/>
  <c r="O28" i="9"/>
  <c r="K29"/>
  <c r="G39"/>
  <c r="G41" s="1"/>
  <c r="H39"/>
  <c r="H41" s="1"/>
  <c r="F39"/>
  <c r="F41" s="1"/>
  <c r="M37" i="3"/>
  <c r="O37"/>
  <c r="N37"/>
  <c r="L38"/>
  <c r="K39"/>
  <c r="L39" s="1"/>
  <c r="G39" i="6"/>
  <c r="G41" s="1"/>
  <c r="C10" i="8" s="1"/>
  <c r="H39" i="6"/>
  <c r="H41" s="1"/>
  <c r="D10" i="8" s="1"/>
  <c r="F39" i="6"/>
  <c r="F41" s="1"/>
  <c r="B10" i="8" s="1"/>
  <c r="L39" i="5"/>
  <c r="L41" s="1"/>
  <c r="C9" i="8" s="1"/>
  <c r="K39" i="5"/>
  <c r="K41" s="1"/>
  <c r="B9" i="8" s="1"/>
  <c r="M39" i="5"/>
  <c r="M41" s="1"/>
  <c r="D9" i="8" s="1"/>
  <c r="K29" i="6" l="1"/>
  <c r="L29" s="1"/>
  <c r="M29" s="1"/>
  <c r="N38" i="3"/>
  <c r="O38"/>
  <c r="M38"/>
  <c r="R28" i="9"/>
  <c r="Q28"/>
  <c r="P28"/>
  <c r="O39" i="3"/>
  <c r="O41" s="1"/>
  <c r="D12" i="8" s="1"/>
  <c r="N39" i="3"/>
  <c r="N41" s="1"/>
  <c r="C12" i="8" s="1"/>
  <c r="M39" i="3"/>
  <c r="M41" s="1"/>
  <c r="B12" i="8" s="1"/>
  <c r="N29" i="9"/>
  <c r="L29"/>
  <c r="M29" s="1"/>
  <c r="N29" i="6" l="1"/>
  <c r="P29"/>
  <c r="O29"/>
  <c r="J30"/>
  <c r="O29" i="9"/>
  <c r="K30"/>
  <c r="K30" i="6" l="1"/>
  <c r="L30" s="1"/>
  <c r="M30" s="1"/>
  <c r="P29" i="9"/>
  <c r="R29"/>
  <c r="Q29"/>
  <c r="L30"/>
  <c r="M30" s="1"/>
  <c r="N30" s="1"/>
  <c r="P30" i="6" l="1"/>
  <c r="O30"/>
  <c r="N30"/>
  <c r="J31"/>
  <c r="O30" i="9"/>
  <c r="K31"/>
  <c r="M31" i="6" l="1"/>
  <c r="K31"/>
  <c r="L31" s="1"/>
  <c r="R30" i="9"/>
  <c r="Q30"/>
  <c r="P30"/>
  <c r="N31"/>
  <c r="L31"/>
  <c r="M31" s="1"/>
  <c r="N31" i="6" l="1"/>
  <c r="J32"/>
  <c r="P31"/>
  <c r="O31"/>
  <c r="O31" i="9"/>
  <c r="K32"/>
  <c r="K32" i="6" l="1"/>
  <c r="L32" s="1"/>
  <c r="M32" s="1"/>
  <c r="P31" i="9"/>
  <c r="R31"/>
  <c r="Q31"/>
  <c r="N32"/>
  <c r="L32"/>
  <c r="M32" s="1"/>
  <c r="J33" i="6" l="1"/>
  <c r="N32"/>
  <c r="P32"/>
  <c r="O32"/>
  <c r="O32" i="9"/>
  <c r="K33"/>
  <c r="M33" i="6" l="1"/>
  <c r="K33"/>
  <c r="L33" s="1"/>
  <c r="Q32" i="9"/>
  <c r="P32"/>
  <c r="R32"/>
  <c r="L33"/>
  <c r="M33" s="1"/>
  <c r="N33" s="1"/>
  <c r="O33" l="1"/>
  <c r="K34"/>
  <c r="P33" i="6"/>
  <c r="O33"/>
  <c r="J34"/>
  <c r="N33"/>
  <c r="L34" i="9" l="1"/>
  <c r="M34" s="1"/>
  <c r="N34" s="1"/>
  <c r="P33"/>
  <c r="R33"/>
  <c r="Q33"/>
  <c r="M34" i="6"/>
  <c r="K34"/>
  <c r="L34" s="1"/>
  <c r="O34" i="9" l="1"/>
  <c r="K35"/>
  <c r="J35" i="6"/>
  <c r="O34"/>
  <c r="N34"/>
  <c r="P34"/>
  <c r="L35" i="9" l="1"/>
  <c r="M35" s="1"/>
  <c r="N35" s="1"/>
  <c r="Q34"/>
  <c r="P34"/>
  <c r="R34"/>
  <c r="M35" i="6"/>
  <c r="K35"/>
  <c r="L35" s="1"/>
  <c r="O35" i="9" l="1"/>
  <c r="K36"/>
  <c r="O35" i="6"/>
  <c r="P35"/>
  <c r="N35"/>
  <c r="J36"/>
  <c r="R35" i="9" l="1"/>
  <c r="Q35"/>
  <c r="P35"/>
  <c r="L36"/>
  <c r="M36" s="1"/>
  <c r="N36" s="1"/>
  <c r="M36" i="6"/>
  <c r="K36"/>
  <c r="L36" s="1"/>
  <c r="O36" i="9" l="1"/>
  <c r="K37"/>
  <c r="O36" i="6"/>
  <c r="N36"/>
  <c r="P36"/>
  <c r="J37"/>
  <c r="L37" i="9" l="1"/>
  <c r="M37" s="1"/>
  <c r="N37" s="1"/>
  <c r="P36"/>
  <c r="R36"/>
  <c r="Q36"/>
  <c r="K37" i="6"/>
  <c r="L37" s="1"/>
  <c r="M37" s="1"/>
  <c r="O37" i="9" l="1"/>
  <c r="K38"/>
  <c r="N37" i="6"/>
  <c r="P37"/>
  <c r="O37"/>
  <c r="J38"/>
  <c r="P37" i="9" l="1"/>
  <c r="R37"/>
  <c r="Q37"/>
  <c r="L38"/>
  <c r="M38" s="1"/>
  <c r="N38" s="1"/>
  <c r="K38" i="6"/>
  <c r="L38" s="1"/>
  <c r="M38" s="1"/>
  <c r="O38" i="9" l="1"/>
  <c r="K39"/>
  <c r="P38" i="6"/>
  <c r="J39"/>
  <c r="O38"/>
  <c r="N38"/>
  <c r="L39" i="9" l="1"/>
  <c r="M39" s="1"/>
  <c r="N39" s="1"/>
  <c r="O39" s="1"/>
  <c r="K39" i="6"/>
  <c r="L39" s="1"/>
  <c r="M39" s="1"/>
  <c r="R38" i="9"/>
  <c r="Q38"/>
  <c r="P38"/>
  <c r="P39" l="1"/>
  <c r="P41" s="1"/>
  <c r="B13" i="8" s="1"/>
  <c r="R39" i="9"/>
  <c r="R41" s="1"/>
  <c r="D13" i="8" s="1"/>
  <c r="Q39" i="9"/>
  <c r="Q41" s="1"/>
  <c r="C13" i="8" s="1"/>
  <c r="N39" i="6"/>
  <c r="N41" s="1"/>
  <c r="B11" i="8" s="1"/>
  <c r="P39" i="6"/>
  <c r="P41" s="1"/>
  <c r="D11" i="8" s="1"/>
  <c r="O39" i="6"/>
  <c r="O41" s="1"/>
  <c r="C11" i="8" s="1"/>
</calcChain>
</file>

<file path=xl/sharedStrings.xml><?xml version="1.0" encoding="utf-8"?>
<sst xmlns="http://schemas.openxmlformats.org/spreadsheetml/2006/main" count="424" uniqueCount="67">
  <si>
    <t>Mois</t>
  </si>
  <si>
    <t>Année 1993</t>
  </si>
  <si>
    <t>Année 1994</t>
  </si>
  <si>
    <t>Année 1995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</si>
  <si>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</si>
  <si>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</si>
  <si>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</si>
  <si>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</si>
  <si>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</si>
  <si>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</si>
  <si>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</si>
  <si>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</si>
  <si>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</si>
  <si>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</si>
  <si>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</si>
  <si>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</si>
  <si>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Exercice CONTACT</t>
  </si>
  <si>
    <t>Total</t>
  </si>
  <si>
    <t>Coef.</t>
  </si>
  <si>
    <t>Moyenne</t>
  </si>
  <si>
    <t>MM/3</t>
  </si>
  <si>
    <t>LE (0.1)</t>
  </si>
  <si>
    <t>LE (0.5)</t>
  </si>
  <si>
    <t>MM/6</t>
  </si>
  <si>
    <t>LE (0.3)</t>
  </si>
  <si>
    <t>Tendance</t>
  </si>
  <si>
    <t>T. lissée</t>
  </si>
  <si>
    <t>Prev. Corr</t>
  </si>
  <si>
    <t>Dem. Désaison</t>
  </si>
  <si>
    <t>Ecart absolu moyen</t>
  </si>
  <si>
    <t>Ecart algébrique moyen</t>
  </si>
  <si>
    <t>Modèle</t>
  </si>
  <si>
    <t>Moyenne mobile sur 3 périodes</t>
  </si>
  <si>
    <t>Moyenne mobile sur 6 périodes</t>
  </si>
  <si>
    <t>Lissage exponentiel, coef. 0,1</t>
  </si>
  <si>
    <t>Lissage exponentiel, coef. 0,5</t>
  </si>
  <si>
    <t>Lissage exponentiel, coef. 0,3 + correction de saisonnalité</t>
  </si>
  <si>
    <t>Lissage exponentiel, coef. 0,3 + correction de tendance</t>
  </si>
  <si>
    <t>Prévision par moyenne mobile</t>
  </si>
  <si>
    <t>Prévision par lissage exponentiel</t>
  </si>
  <si>
    <t>Prévision par lissage exponentiel et correction de tendance</t>
  </si>
  <si>
    <t>Prévision par lissage exponentiel et correction de saisonnalité</t>
  </si>
  <si>
    <t>Prev. C1</t>
  </si>
  <si>
    <t>Prev. C2</t>
  </si>
  <si>
    <t>A. 1993</t>
  </si>
  <si>
    <t>A. 93+94</t>
  </si>
  <si>
    <t>Lissage exponentiel, coef. 0,3 + tendance + saisonnalité</t>
  </si>
  <si>
    <t>Demande</t>
  </si>
  <si>
    <t>Prévision</t>
  </si>
  <si>
    <t>Modèle naïf</t>
  </si>
  <si>
    <t>Droite de regression</t>
  </si>
  <si>
    <t>E.alg.M</t>
  </si>
  <si>
    <t>E.abs.M</t>
  </si>
  <si>
    <t>Récapitulation des résultats</t>
  </si>
  <si>
    <t>alpha :</t>
  </si>
  <si>
    <t>E.quad.M</t>
  </si>
  <si>
    <t>beta :</t>
  </si>
  <si>
    <t>Ecart quadratique</t>
  </si>
  <si>
    <t>Lissage exponentiel, coef. 0,3</t>
  </si>
  <si>
    <t>A. 1995</t>
  </si>
  <si>
    <t>A. 1994</t>
  </si>
  <si>
    <t>Pente :</t>
  </si>
  <si>
    <t>Ordonnée à l'origine :</t>
  </si>
  <si>
    <t>Corrigée</t>
  </si>
  <si>
    <t>Pentes</t>
  </si>
  <si>
    <t>Ordonnées</t>
  </si>
  <si>
    <t>initialisation : moyenne des 6 derniers mois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</si>
</sst>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sz val="10"/>
      <color indexed="18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1" fontId="0" fillId="3" borderId="0" xfId="0" applyNumberForma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" fillId="2" borderId="0" xfId="0" applyFont="1" applyFill="1"/>
    <xf numFmtId="0" fontId="3" fillId="0" borderId="0" xfId="0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/>
    <xf numFmtId="1" fontId="1" fillId="0" borderId="0" xfId="0" applyNumberFormat="1" applyFont="1" applyAlignment="1">
      <alignment horizontal="center"/>
    </xf>
    <xf numFmtId="0" fontId="0" fillId="4" borderId="0" xfId="0" applyFill="1"/>
    <xf numFmtId="1" fontId="0" fillId="4" borderId="0" xfId="0" applyNumberFormat="1" applyFill="1"/>
    <xf numFmtId="1" fontId="1" fillId="4" borderId="0" xfId="0" applyNumberFormat="1" applyFont="1" applyFill="1"/>
    <xf numFmtId="2" fontId="1" fillId="4" borderId="0" xfId="0" applyNumberFormat="1" applyFont="1" applyFill="1"/>
    <xf numFmtId="0" fontId="0" fillId="0" borderId="0" xfId="0" applyAlignment="1">
      <alignment horizontal="right"/>
    </xf>
    <xf numFmtId="1" fontId="0" fillId="4" borderId="0" xfId="0" applyNumberForma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5" borderId="0" xfId="0" applyFill="1" applyAlignment="1">
      <alignment horizontal="right"/>
    </xf>
    <xf numFmtId="0" fontId="0" fillId="5" borderId="0" xfId="0" applyFill="1"/>
    <xf numFmtId="0" fontId="4" fillId="5" borderId="0" xfId="0" applyFont="1" applyFill="1" applyAlignment="1">
      <alignment horizontal="left"/>
    </xf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/>
    <xf numFmtId="1" fontId="2" fillId="4" borderId="4" xfId="0" applyNumberFormat="1" applyFont="1" applyFill="1" applyBorder="1" applyAlignment="1">
      <alignment horizontal="center"/>
    </xf>
    <xf numFmtId="0" fontId="2" fillId="4" borderId="5" xfId="0" applyFont="1" applyFill="1" applyBorder="1"/>
    <xf numFmtId="1" fontId="5" fillId="4" borderId="6" xfId="0" applyNumberFormat="1" applyFont="1" applyFill="1" applyBorder="1" applyAlignment="1">
      <alignment horizontal="center"/>
    </xf>
    <xf numFmtId="0" fontId="2" fillId="4" borderId="7" xfId="0" applyFont="1" applyFill="1" applyBorder="1"/>
    <xf numFmtId="1" fontId="5" fillId="4" borderId="8" xfId="0" applyNumberFormat="1" applyFont="1" applyFill="1" applyBorder="1" applyAlignment="1">
      <alignment horizontal="center"/>
    </xf>
    <xf numFmtId="0" fontId="2" fillId="4" borderId="9" xfId="0" applyFont="1" applyFill="1" applyBorder="1"/>
    <xf numFmtId="1" fontId="5" fillId="4" borderId="10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5" fillId="4" borderId="11" xfId="0" applyNumberFormat="1" applyFont="1" applyFill="1" applyBorder="1" applyAlignment="1">
      <alignment horizontal="center"/>
    </xf>
    <xf numFmtId="1" fontId="5" fillId="4" borderId="12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" fontId="5" fillId="4" borderId="1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left"/>
    </xf>
    <xf numFmtId="0" fontId="1" fillId="6" borderId="0" xfId="0" applyFont="1" applyFill="1" applyAlignment="1">
      <alignment horizontal="left"/>
    </xf>
    <xf numFmtId="1" fontId="0" fillId="0" borderId="15" xfId="0" applyNumberFormat="1" applyBorder="1" applyAlignment="1">
      <alignment horizontal="center"/>
    </xf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19" xfId="0" applyBorder="1"/>
    <xf numFmtId="1" fontId="0" fillId="0" borderId="20" xfId="0" applyNumberFormat="1" applyBorder="1" applyAlignment="1">
      <alignment horizontal="center"/>
    </xf>
    <xf numFmtId="0" fontId="0" fillId="0" borderId="21" xfId="0" applyBorder="1"/>
    <xf numFmtId="1" fontId="0" fillId="0" borderId="2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2" fillId="6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/>
    <xf numFmtId="2" fontId="6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Série chronologique + prévision naïve</a:t>
            </a:r>
          </a:p>
        </c:rich>
      </c:tx>
      <c:layout>
        <c:manualLayout>
          <c:xMode val="edge"/>
          <c:yMode val="edge"/>
          <c:x val="0.26208391833583594"/>
          <c:y val="2.92275574112734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8077382391551412E-2"/>
          <c:y val="0.12734864300626306"/>
          <c:w val="0.89795965462606075"/>
          <c:h val="0.62421711899791232"/>
        </c:manualLayout>
      </c:layout>
      <c:lineChart>
        <c:grouping val="standard"/>
        <c:ser>
          <c:idx val="0"/>
          <c:order val="0"/>
          <c:tx>
            <c:v>Demande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Données!$B$21:$B$56</c:f>
              <c:strCache>
                <c:ptCount val="36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  <c:pt idx="24">
                  <c:v>Janvier</c:v>
                </c:pt>
                <c:pt idx="25">
                  <c:v>Février</c:v>
                </c:pt>
                <c:pt idx="26">
                  <c:v>Mars</c:v>
                </c:pt>
                <c:pt idx="27">
                  <c:v>Avril</c:v>
                </c:pt>
                <c:pt idx="28">
                  <c:v>Mai</c:v>
                </c:pt>
                <c:pt idx="29">
                  <c:v>Juin</c:v>
                </c:pt>
                <c:pt idx="30">
                  <c:v>Juillet</c:v>
                </c:pt>
                <c:pt idx="31">
                  <c:v>Août</c:v>
                </c:pt>
                <c:pt idx="32">
                  <c:v>Septembre</c:v>
                </c:pt>
                <c:pt idx="33">
                  <c:v>Octobre</c:v>
                </c:pt>
                <c:pt idx="34">
                  <c:v>Novembre</c:v>
                </c:pt>
                <c:pt idx="35">
                  <c:v>Décembre</c:v>
                </c:pt>
              </c:strCache>
            </c:strRef>
          </c:cat>
          <c:val>
            <c:numRef>
              <c:f>Données!$C$21:$C$56</c:f>
              <c:numCache>
                <c:formatCode>General</c:formatCode>
                <c:ptCount val="36"/>
                <c:pt idx="0">
                  <c:v>892</c:v>
                </c:pt>
                <c:pt idx="1">
                  <c:v>1114</c:v>
                </c:pt>
                <c:pt idx="2">
                  <c:v>1280</c:v>
                </c:pt>
                <c:pt idx="3">
                  <c:v>1328</c:v>
                </c:pt>
                <c:pt idx="4">
                  <c:v>1253</c:v>
                </c:pt>
                <c:pt idx="5">
                  <c:v>1125</c:v>
                </c:pt>
                <c:pt idx="6">
                  <c:v>1197</c:v>
                </c:pt>
                <c:pt idx="7">
                  <c:v>867</c:v>
                </c:pt>
                <c:pt idx="8">
                  <c:v>1406</c:v>
                </c:pt>
                <c:pt idx="9">
                  <c:v>1503</c:v>
                </c:pt>
                <c:pt idx="10">
                  <c:v>1068</c:v>
                </c:pt>
                <c:pt idx="11">
                  <c:v>979</c:v>
                </c:pt>
                <c:pt idx="12" formatCode="0">
                  <c:v>1031</c:v>
                </c:pt>
                <c:pt idx="13" formatCode="0">
                  <c:v>1353</c:v>
                </c:pt>
                <c:pt idx="14" formatCode="0">
                  <c:v>1512</c:v>
                </c:pt>
                <c:pt idx="15" formatCode="0">
                  <c:v>1670</c:v>
                </c:pt>
                <c:pt idx="16" formatCode="0">
                  <c:v>1523</c:v>
                </c:pt>
                <c:pt idx="17" formatCode="0">
                  <c:v>1386</c:v>
                </c:pt>
                <c:pt idx="18" formatCode="0">
                  <c:v>1351</c:v>
                </c:pt>
                <c:pt idx="19" formatCode="0">
                  <c:v>1075</c:v>
                </c:pt>
                <c:pt idx="20" formatCode="0">
                  <c:v>1623</c:v>
                </c:pt>
                <c:pt idx="21" formatCode="0">
                  <c:v>1756</c:v>
                </c:pt>
                <c:pt idx="22" formatCode="0">
                  <c:v>1346</c:v>
                </c:pt>
                <c:pt idx="23" formatCode="0">
                  <c:v>1031</c:v>
                </c:pt>
                <c:pt idx="24" formatCode="0">
                  <c:v>1154</c:v>
                </c:pt>
                <c:pt idx="25" formatCode="0">
                  <c:v>1567</c:v>
                </c:pt>
                <c:pt idx="26" formatCode="0">
                  <c:v>1709</c:v>
                </c:pt>
                <c:pt idx="27" formatCode="0">
                  <c:v>1998</c:v>
                </c:pt>
                <c:pt idx="28" formatCode="0">
                  <c:v>1891</c:v>
                </c:pt>
                <c:pt idx="29" formatCode="0">
                  <c:v>1639</c:v>
                </c:pt>
                <c:pt idx="30" formatCode="0">
                  <c:v>1504</c:v>
                </c:pt>
                <c:pt idx="31" formatCode="0">
                  <c:v>1271</c:v>
                </c:pt>
                <c:pt idx="32" formatCode="0">
                  <c:v>1786</c:v>
                </c:pt>
                <c:pt idx="33" formatCode="0">
                  <c:v>1941</c:v>
                </c:pt>
                <c:pt idx="34" formatCode="0">
                  <c:v>1606</c:v>
                </c:pt>
                <c:pt idx="35" formatCode="0">
                  <c:v>1389</c:v>
                </c:pt>
              </c:numCache>
            </c:numRef>
          </c:val>
        </c:ser>
        <c:ser>
          <c:idx val="1"/>
          <c:order val="1"/>
          <c:tx>
            <c:v>Droite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Données!$I$21:$I$56</c:f>
              <c:numCache>
                <c:formatCode>0</c:formatCode>
                <c:ptCount val="36"/>
                <c:pt idx="0">
                  <c:v>1091.4864864864865</c:v>
                </c:pt>
                <c:pt idx="1">
                  <c:v>1108.6777348777348</c:v>
                </c:pt>
                <c:pt idx="2">
                  <c:v>1125.8689832689831</c:v>
                </c:pt>
                <c:pt idx="3">
                  <c:v>1143.0602316602315</c:v>
                </c:pt>
                <c:pt idx="4">
                  <c:v>1160.2514800514798</c:v>
                </c:pt>
                <c:pt idx="5">
                  <c:v>1177.4427284427281</c:v>
                </c:pt>
                <c:pt idx="6">
                  <c:v>1194.6339768339765</c:v>
                </c:pt>
                <c:pt idx="7">
                  <c:v>1211.8252252252248</c:v>
                </c:pt>
                <c:pt idx="8">
                  <c:v>1229.0164736164731</c:v>
                </c:pt>
                <c:pt idx="9">
                  <c:v>1246.2077220077215</c:v>
                </c:pt>
                <c:pt idx="10">
                  <c:v>1263.3989703989698</c:v>
                </c:pt>
                <c:pt idx="11">
                  <c:v>1280.5902187902182</c:v>
                </c:pt>
                <c:pt idx="12">
                  <c:v>1297.7814671814665</c:v>
                </c:pt>
                <c:pt idx="13">
                  <c:v>1314.9727155727148</c:v>
                </c:pt>
                <c:pt idx="14">
                  <c:v>1332.1639639639632</c:v>
                </c:pt>
                <c:pt idx="15">
                  <c:v>1349.3552123552115</c:v>
                </c:pt>
                <c:pt idx="16">
                  <c:v>1366.5464607464598</c:v>
                </c:pt>
                <c:pt idx="17">
                  <c:v>1383.7377091377082</c:v>
                </c:pt>
                <c:pt idx="18">
                  <c:v>1400.9289575289565</c:v>
                </c:pt>
                <c:pt idx="19">
                  <c:v>1418.1202059202049</c:v>
                </c:pt>
                <c:pt idx="20">
                  <c:v>1435.3114543114532</c:v>
                </c:pt>
                <c:pt idx="21">
                  <c:v>1452.5027027027015</c:v>
                </c:pt>
                <c:pt idx="22">
                  <c:v>1469.6939510939499</c:v>
                </c:pt>
                <c:pt idx="23">
                  <c:v>1486.8851994851982</c:v>
                </c:pt>
                <c:pt idx="24">
                  <c:v>1504.0764478764465</c:v>
                </c:pt>
                <c:pt idx="25">
                  <c:v>1521.2676962676949</c:v>
                </c:pt>
                <c:pt idx="26">
                  <c:v>1538.4589446589432</c:v>
                </c:pt>
                <c:pt idx="27">
                  <c:v>1555.6501930501915</c:v>
                </c:pt>
                <c:pt idx="28">
                  <c:v>1572.8414414414399</c:v>
                </c:pt>
                <c:pt idx="29">
                  <c:v>1590.0326898326882</c:v>
                </c:pt>
                <c:pt idx="30">
                  <c:v>1607.2239382239366</c:v>
                </c:pt>
                <c:pt idx="31">
                  <c:v>1624.4151866151849</c:v>
                </c:pt>
                <c:pt idx="32">
                  <c:v>1641.6064350064332</c:v>
                </c:pt>
                <c:pt idx="33">
                  <c:v>1658.7976833976816</c:v>
                </c:pt>
                <c:pt idx="34">
                  <c:v>1675.9889317889299</c:v>
                </c:pt>
                <c:pt idx="35">
                  <c:v>1693.1801801801782</c:v>
                </c:pt>
              </c:numCache>
            </c:numRef>
          </c:val>
        </c:ser>
        <c:ser>
          <c:idx val="2"/>
          <c:order val="2"/>
          <c:tx>
            <c:v>Prévision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Données!$D$21:$D$56</c:f>
              <c:numCache>
                <c:formatCode>General</c:formatCode>
                <c:ptCount val="36"/>
                <c:pt idx="0">
                  <c:v>892</c:v>
                </c:pt>
                <c:pt idx="1">
                  <c:v>892</c:v>
                </c:pt>
                <c:pt idx="2">
                  <c:v>1114</c:v>
                </c:pt>
                <c:pt idx="3">
                  <c:v>1280</c:v>
                </c:pt>
                <c:pt idx="4">
                  <c:v>1328</c:v>
                </c:pt>
                <c:pt idx="5">
                  <c:v>1253</c:v>
                </c:pt>
                <c:pt idx="6">
                  <c:v>1125</c:v>
                </c:pt>
                <c:pt idx="7">
                  <c:v>1197</c:v>
                </c:pt>
                <c:pt idx="8">
                  <c:v>867</c:v>
                </c:pt>
                <c:pt idx="9">
                  <c:v>1406</c:v>
                </c:pt>
                <c:pt idx="10">
                  <c:v>1503</c:v>
                </c:pt>
                <c:pt idx="11">
                  <c:v>1068</c:v>
                </c:pt>
                <c:pt idx="12">
                  <c:v>979</c:v>
                </c:pt>
                <c:pt idx="13">
                  <c:v>1031</c:v>
                </c:pt>
                <c:pt idx="14">
                  <c:v>1353</c:v>
                </c:pt>
                <c:pt idx="15">
                  <c:v>1512</c:v>
                </c:pt>
                <c:pt idx="16">
                  <c:v>1670</c:v>
                </c:pt>
                <c:pt idx="17">
                  <c:v>1523</c:v>
                </c:pt>
                <c:pt idx="18">
                  <c:v>1386</c:v>
                </c:pt>
                <c:pt idx="19">
                  <c:v>1351</c:v>
                </c:pt>
                <c:pt idx="20">
                  <c:v>1075</c:v>
                </c:pt>
                <c:pt idx="21">
                  <c:v>1623</c:v>
                </c:pt>
                <c:pt idx="22">
                  <c:v>1756</c:v>
                </c:pt>
                <c:pt idx="23">
                  <c:v>1346</c:v>
                </c:pt>
                <c:pt idx="24">
                  <c:v>1031</c:v>
                </c:pt>
                <c:pt idx="25">
                  <c:v>1154</c:v>
                </c:pt>
                <c:pt idx="26">
                  <c:v>1567</c:v>
                </c:pt>
                <c:pt idx="27">
                  <c:v>1709</c:v>
                </c:pt>
                <c:pt idx="28">
                  <c:v>1998</c:v>
                </c:pt>
                <c:pt idx="29">
                  <c:v>1891</c:v>
                </c:pt>
                <c:pt idx="30">
                  <c:v>1639</c:v>
                </c:pt>
                <c:pt idx="31">
                  <c:v>1504</c:v>
                </c:pt>
                <c:pt idx="32">
                  <c:v>1271</c:v>
                </c:pt>
                <c:pt idx="33">
                  <c:v>1786</c:v>
                </c:pt>
                <c:pt idx="34">
                  <c:v>1941</c:v>
                </c:pt>
                <c:pt idx="35">
                  <c:v>1606</c:v>
                </c:pt>
              </c:numCache>
            </c:numRef>
          </c:val>
        </c:ser>
        <c:ser>
          <c:idx val="3"/>
          <c:order val="3"/>
          <c:tx>
            <c:v>Reg. mens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Données!$J$21:$J$56</c:f>
              <c:numCache>
                <c:formatCode>0</c:formatCode>
                <c:ptCount val="36"/>
                <c:pt idx="0">
                  <c:v>1140.5897435897436</c:v>
                </c:pt>
                <c:pt idx="1">
                  <c:v>1145.5128205128206</c:v>
                </c:pt>
                <c:pt idx="2">
                  <c:v>1150.4358974358975</c:v>
                </c:pt>
                <c:pt idx="3">
                  <c:v>1155.3589743589744</c:v>
                </c:pt>
                <c:pt idx="4">
                  <c:v>1160.2820512820515</c:v>
                </c:pt>
                <c:pt idx="5">
                  <c:v>1165.2051282051284</c:v>
                </c:pt>
                <c:pt idx="6">
                  <c:v>1170.1282051282053</c:v>
                </c:pt>
                <c:pt idx="7">
                  <c:v>1175.0512820512822</c:v>
                </c:pt>
                <c:pt idx="8">
                  <c:v>1179.9743589743591</c:v>
                </c:pt>
                <c:pt idx="9">
                  <c:v>1184.897435897436</c:v>
                </c:pt>
                <c:pt idx="10">
                  <c:v>1189.8205128205129</c:v>
                </c:pt>
                <c:pt idx="11">
                  <c:v>1194.7435897435898</c:v>
                </c:pt>
                <c:pt idx="12">
                  <c:v>1387.4871794871794</c:v>
                </c:pt>
                <c:pt idx="13">
                  <c:v>1387.5955710955709</c:v>
                </c:pt>
                <c:pt idx="14">
                  <c:v>1387.7039627039626</c:v>
                </c:pt>
                <c:pt idx="15">
                  <c:v>1387.8123543123543</c:v>
                </c:pt>
                <c:pt idx="16">
                  <c:v>1387.9207459207457</c:v>
                </c:pt>
                <c:pt idx="17">
                  <c:v>1388.0291375291374</c:v>
                </c:pt>
                <c:pt idx="18">
                  <c:v>1388.1375291375291</c:v>
                </c:pt>
                <c:pt idx="19">
                  <c:v>1388.2459207459206</c:v>
                </c:pt>
                <c:pt idx="20">
                  <c:v>1388.3543123543122</c:v>
                </c:pt>
                <c:pt idx="21">
                  <c:v>1388.4627039627037</c:v>
                </c:pt>
                <c:pt idx="22">
                  <c:v>1388.5710955710954</c:v>
                </c:pt>
                <c:pt idx="23">
                  <c:v>1388.6794871794871</c:v>
                </c:pt>
                <c:pt idx="24">
                  <c:v>1592.3076923076924</c:v>
                </c:pt>
                <c:pt idx="25">
                  <c:v>1597.56993006993</c:v>
                </c:pt>
                <c:pt idx="26">
                  <c:v>1602.8321678321679</c:v>
                </c:pt>
                <c:pt idx="27">
                  <c:v>1608.0944055944055</c:v>
                </c:pt>
                <c:pt idx="28">
                  <c:v>1613.3566433566434</c:v>
                </c:pt>
                <c:pt idx="29">
                  <c:v>1618.6188811188811</c:v>
                </c:pt>
                <c:pt idx="30">
                  <c:v>1623.8811188811189</c:v>
                </c:pt>
                <c:pt idx="31">
                  <c:v>1629.1433566433566</c:v>
                </c:pt>
                <c:pt idx="32">
                  <c:v>1634.4055944055945</c:v>
                </c:pt>
                <c:pt idx="33">
                  <c:v>1639.6678321678321</c:v>
                </c:pt>
                <c:pt idx="34">
                  <c:v>1644.93006993007</c:v>
                </c:pt>
                <c:pt idx="35">
                  <c:v>1650.1923076923076</c:v>
                </c:pt>
              </c:numCache>
            </c:numRef>
          </c:val>
        </c:ser>
        <c:marker val="1"/>
        <c:axId val="157737728"/>
        <c:axId val="157739264"/>
      </c:lineChart>
      <c:catAx>
        <c:axId val="1577377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739264"/>
        <c:crosses val="autoZero"/>
        <c:auto val="1"/>
        <c:lblAlgn val="ctr"/>
        <c:lblOffset val="100"/>
        <c:tickLblSkip val="2"/>
        <c:tickMarkSkip val="1"/>
      </c:catAx>
      <c:valAx>
        <c:axId val="157739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737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901198256452162"/>
          <c:y val="0.93110647181628392"/>
          <c:w val="0.43501633986071125"/>
          <c:h val="5.636743215031315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Moyenne mobile</a:t>
            </a:r>
          </a:p>
        </c:rich>
      </c:tx>
      <c:layout>
        <c:manualLayout>
          <c:xMode val="edge"/>
          <c:yMode val="edge"/>
          <c:x val="0.40958107783324632"/>
          <c:y val="1.8140629740269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44914591665064E-2"/>
          <c:y val="0.10884377844161539"/>
          <c:w val="0.83952144900908088"/>
          <c:h val="0.62131656860422113"/>
        </c:manualLayout>
      </c:layout>
      <c:lineChart>
        <c:grouping val="standard"/>
        <c:ser>
          <c:idx val="0"/>
          <c:order val="0"/>
          <c:tx>
            <c:v>Demande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'Moyenne mobile'!$B$16:$B$39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'Moyenne mobile'!$C$16:$C$39</c:f>
              <c:numCache>
                <c:formatCode>0</c:formatCode>
                <c:ptCount val="24"/>
                <c:pt idx="0">
                  <c:v>1031</c:v>
                </c:pt>
                <c:pt idx="1">
                  <c:v>1353</c:v>
                </c:pt>
                <c:pt idx="2">
                  <c:v>1512</c:v>
                </c:pt>
                <c:pt idx="3">
                  <c:v>1670</c:v>
                </c:pt>
                <c:pt idx="4">
                  <c:v>1523</c:v>
                </c:pt>
                <c:pt idx="5">
                  <c:v>1386</c:v>
                </c:pt>
                <c:pt idx="6">
                  <c:v>1351</c:v>
                </c:pt>
                <c:pt idx="7">
                  <c:v>1075</c:v>
                </c:pt>
                <c:pt idx="8">
                  <c:v>1623</c:v>
                </c:pt>
                <c:pt idx="9">
                  <c:v>1756</c:v>
                </c:pt>
                <c:pt idx="10">
                  <c:v>1346</c:v>
                </c:pt>
                <c:pt idx="11">
                  <c:v>1031</c:v>
                </c:pt>
                <c:pt idx="12">
                  <c:v>1154</c:v>
                </c:pt>
                <c:pt idx="13">
                  <c:v>1567</c:v>
                </c:pt>
                <c:pt idx="14">
                  <c:v>1709</c:v>
                </c:pt>
                <c:pt idx="15">
                  <c:v>1998</c:v>
                </c:pt>
                <c:pt idx="16">
                  <c:v>1891</c:v>
                </c:pt>
                <c:pt idx="17">
                  <c:v>1639</c:v>
                </c:pt>
                <c:pt idx="18">
                  <c:v>1504</c:v>
                </c:pt>
                <c:pt idx="19">
                  <c:v>1271</c:v>
                </c:pt>
                <c:pt idx="20">
                  <c:v>1786</c:v>
                </c:pt>
                <c:pt idx="21">
                  <c:v>1941</c:v>
                </c:pt>
                <c:pt idx="22">
                  <c:v>1606</c:v>
                </c:pt>
                <c:pt idx="23">
                  <c:v>1389</c:v>
                </c:pt>
              </c:numCache>
            </c:numRef>
          </c:val>
        </c:ser>
        <c:ser>
          <c:idx val="1"/>
          <c:order val="1"/>
          <c:tx>
            <c:v>Prévision/3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'Moyenne mobile'!$B$16:$B$39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'Moyenne mobile'!$E$16:$E$39</c:f>
              <c:numCache>
                <c:formatCode>0</c:formatCode>
                <c:ptCount val="24"/>
                <c:pt idx="0">
                  <c:v>1183.3333333333333</c:v>
                </c:pt>
                <c:pt idx="1">
                  <c:v>1026</c:v>
                </c:pt>
                <c:pt idx="2">
                  <c:v>1121</c:v>
                </c:pt>
                <c:pt idx="3">
                  <c:v>1298.6666666666667</c:v>
                </c:pt>
                <c:pt idx="4">
                  <c:v>1511.6666666666667</c:v>
                </c:pt>
                <c:pt idx="5">
                  <c:v>1568.3333333333333</c:v>
                </c:pt>
                <c:pt idx="6">
                  <c:v>1526.3333333333333</c:v>
                </c:pt>
                <c:pt idx="7">
                  <c:v>1420</c:v>
                </c:pt>
                <c:pt idx="8">
                  <c:v>1270.6666666666667</c:v>
                </c:pt>
                <c:pt idx="9">
                  <c:v>1349.6666666666667</c:v>
                </c:pt>
                <c:pt idx="10">
                  <c:v>1484.6666666666667</c:v>
                </c:pt>
                <c:pt idx="11">
                  <c:v>1575</c:v>
                </c:pt>
                <c:pt idx="12">
                  <c:v>1377.6666666666667</c:v>
                </c:pt>
                <c:pt idx="13">
                  <c:v>1177</c:v>
                </c:pt>
                <c:pt idx="14">
                  <c:v>1250.6666666666667</c:v>
                </c:pt>
                <c:pt idx="15">
                  <c:v>1476.6666666666667</c:v>
                </c:pt>
                <c:pt idx="16">
                  <c:v>1758</c:v>
                </c:pt>
                <c:pt idx="17">
                  <c:v>1866</c:v>
                </c:pt>
                <c:pt idx="18">
                  <c:v>1842.6666666666667</c:v>
                </c:pt>
                <c:pt idx="19">
                  <c:v>1678</c:v>
                </c:pt>
                <c:pt idx="20">
                  <c:v>1471.3333333333333</c:v>
                </c:pt>
                <c:pt idx="21">
                  <c:v>1520.3333333333333</c:v>
                </c:pt>
                <c:pt idx="22">
                  <c:v>1666</c:v>
                </c:pt>
                <c:pt idx="23">
                  <c:v>1777.6666666666667</c:v>
                </c:pt>
              </c:numCache>
            </c:numRef>
          </c:val>
        </c:ser>
        <c:ser>
          <c:idx val="2"/>
          <c:order val="2"/>
          <c:tx>
            <c:v>Prévision/6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'Moyenne mobile'!$J$16:$J$39</c:f>
              <c:numCache>
                <c:formatCode>0</c:formatCode>
                <c:ptCount val="24"/>
                <c:pt idx="0">
                  <c:v>1170</c:v>
                </c:pt>
                <c:pt idx="1">
                  <c:v>1142.3333333333333</c:v>
                </c:pt>
                <c:pt idx="2">
                  <c:v>1223.3333333333333</c:v>
                </c:pt>
                <c:pt idx="3">
                  <c:v>1241</c:v>
                </c:pt>
                <c:pt idx="4">
                  <c:v>1268.8333333333333</c:v>
                </c:pt>
                <c:pt idx="5">
                  <c:v>1344.6666666666667</c:v>
                </c:pt>
                <c:pt idx="6">
                  <c:v>1412.5</c:v>
                </c:pt>
                <c:pt idx="7">
                  <c:v>1465.8333333333333</c:v>
                </c:pt>
                <c:pt idx="8">
                  <c:v>1419.5</c:v>
                </c:pt>
                <c:pt idx="9">
                  <c:v>1438</c:v>
                </c:pt>
                <c:pt idx="10">
                  <c:v>1452.3333333333333</c:v>
                </c:pt>
                <c:pt idx="11">
                  <c:v>1422.8333333333333</c:v>
                </c:pt>
                <c:pt idx="12">
                  <c:v>1363.6666666666667</c:v>
                </c:pt>
                <c:pt idx="13">
                  <c:v>1330.8333333333333</c:v>
                </c:pt>
                <c:pt idx="14">
                  <c:v>1412.8333333333333</c:v>
                </c:pt>
                <c:pt idx="15">
                  <c:v>1427.1666666666667</c:v>
                </c:pt>
                <c:pt idx="16">
                  <c:v>1467.5</c:v>
                </c:pt>
                <c:pt idx="17">
                  <c:v>1558.3333333333333</c:v>
                </c:pt>
                <c:pt idx="18">
                  <c:v>1659.6666666666667</c:v>
                </c:pt>
                <c:pt idx="19">
                  <c:v>1718</c:v>
                </c:pt>
                <c:pt idx="20">
                  <c:v>1668.6666666666667</c:v>
                </c:pt>
                <c:pt idx="21">
                  <c:v>1681.5</c:v>
                </c:pt>
                <c:pt idx="22">
                  <c:v>1672</c:v>
                </c:pt>
                <c:pt idx="23">
                  <c:v>1624.5</c:v>
                </c:pt>
              </c:numCache>
            </c:numRef>
          </c:val>
        </c:ser>
        <c:marker val="1"/>
        <c:axId val="160562560"/>
        <c:axId val="160597120"/>
      </c:lineChart>
      <c:catAx>
        <c:axId val="1605625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597120"/>
        <c:crosses val="autoZero"/>
        <c:auto val="1"/>
        <c:lblAlgn val="ctr"/>
        <c:lblOffset val="100"/>
        <c:tickLblSkip val="1"/>
        <c:tickMarkSkip val="1"/>
      </c:catAx>
      <c:valAx>
        <c:axId val="160597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562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96419931476849"/>
          <c:y val="0.91610180188359613"/>
          <c:w val="0.50538951709248525"/>
          <c:h val="7.029494024354326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Lissage exponentiel</a:t>
            </a:r>
          </a:p>
        </c:rich>
      </c:tx>
      <c:layout>
        <c:manualLayout>
          <c:xMode val="edge"/>
          <c:yMode val="edge"/>
          <c:x val="0.36363683150736925"/>
          <c:y val="3.16742431356086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6956633621327425E-2"/>
          <c:y val="0.12443452660417691"/>
          <c:w val="0.89591683125004018"/>
          <c:h val="0.69457090304513291"/>
        </c:manualLayout>
      </c:layout>
      <c:lineChart>
        <c:grouping val="standard"/>
        <c:ser>
          <c:idx val="0"/>
          <c:order val="0"/>
          <c:tx>
            <c:v>Demande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Lissage!$B$16:$B$39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Lissage!$C$16:$C$39</c:f>
              <c:numCache>
                <c:formatCode>0</c:formatCode>
                <c:ptCount val="24"/>
                <c:pt idx="0">
                  <c:v>1031</c:v>
                </c:pt>
                <c:pt idx="1">
                  <c:v>1353</c:v>
                </c:pt>
                <c:pt idx="2">
                  <c:v>1512</c:v>
                </c:pt>
                <c:pt idx="3">
                  <c:v>1670</c:v>
                </c:pt>
                <c:pt idx="4">
                  <c:v>1523</c:v>
                </c:pt>
                <c:pt idx="5">
                  <c:v>1386</c:v>
                </c:pt>
                <c:pt idx="6">
                  <c:v>1351</c:v>
                </c:pt>
                <c:pt idx="7">
                  <c:v>1075</c:v>
                </c:pt>
                <c:pt idx="8">
                  <c:v>1623</c:v>
                </c:pt>
                <c:pt idx="9">
                  <c:v>1756</c:v>
                </c:pt>
                <c:pt idx="10">
                  <c:v>1346</c:v>
                </c:pt>
                <c:pt idx="11">
                  <c:v>1031</c:v>
                </c:pt>
                <c:pt idx="12">
                  <c:v>1154</c:v>
                </c:pt>
                <c:pt idx="13">
                  <c:v>1567</c:v>
                </c:pt>
                <c:pt idx="14">
                  <c:v>1709</c:v>
                </c:pt>
                <c:pt idx="15">
                  <c:v>1998</c:v>
                </c:pt>
                <c:pt idx="16">
                  <c:v>1891</c:v>
                </c:pt>
                <c:pt idx="17">
                  <c:v>1639</c:v>
                </c:pt>
                <c:pt idx="18">
                  <c:v>1504</c:v>
                </c:pt>
                <c:pt idx="19">
                  <c:v>1271</c:v>
                </c:pt>
                <c:pt idx="20">
                  <c:v>1786</c:v>
                </c:pt>
                <c:pt idx="21">
                  <c:v>1941</c:v>
                </c:pt>
                <c:pt idx="22">
                  <c:v>1606</c:v>
                </c:pt>
                <c:pt idx="23">
                  <c:v>1389</c:v>
                </c:pt>
              </c:numCache>
            </c:numRef>
          </c:val>
        </c:ser>
        <c:ser>
          <c:idx val="1"/>
          <c:order val="1"/>
          <c:tx>
            <c:v>Prévision (0.1)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Lissage!$B$16:$B$39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Lissage!$E$16:$E$39</c:f>
              <c:numCache>
                <c:formatCode>0</c:formatCode>
                <c:ptCount val="24"/>
                <c:pt idx="0">
                  <c:v>1150.9000000000001</c:v>
                </c:pt>
                <c:pt idx="1">
                  <c:v>1138.9100000000001</c:v>
                </c:pt>
                <c:pt idx="2">
                  <c:v>1160.319</c:v>
                </c:pt>
                <c:pt idx="3">
                  <c:v>1195.4871000000001</c:v>
                </c:pt>
                <c:pt idx="4">
                  <c:v>1242.93839</c:v>
                </c:pt>
                <c:pt idx="5">
                  <c:v>1270.944551</c:v>
                </c:pt>
                <c:pt idx="6">
                  <c:v>1282.4500959</c:v>
                </c:pt>
                <c:pt idx="7">
                  <c:v>1289.30508631</c:v>
                </c:pt>
                <c:pt idx="8">
                  <c:v>1267.8745776789999</c:v>
                </c:pt>
                <c:pt idx="9">
                  <c:v>1303.3871199110999</c:v>
                </c:pt>
                <c:pt idx="10">
                  <c:v>1348.6484079199899</c:v>
                </c:pt>
                <c:pt idx="11">
                  <c:v>1348.383567127991</c:v>
                </c:pt>
                <c:pt idx="12">
                  <c:v>1316.6452104151917</c:v>
                </c:pt>
                <c:pt idx="13">
                  <c:v>1300.3806893736728</c:v>
                </c:pt>
                <c:pt idx="14">
                  <c:v>1327.0426204363057</c:v>
                </c:pt>
                <c:pt idx="15">
                  <c:v>1365.2383583926753</c:v>
                </c:pt>
                <c:pt idx="16">
                  <c:v>1428.5145225534077</c:v>
                </c:pt>
                <c:pt idx="17">
                  <c:v>1474.7630702980669</c:v>
                </c:pt>
                <c:pt idx="18">
                  <c:v>1491.1867632682604</c:v>
                </c:pt>
                <c:pt idx="19">
                  <c:v>1492.4680869414344</c:v>
                </c:pt>
                <c:pt idx="20">
                  <c:v>1470.3212782472908</c:v>
                </c:pt>
                <c:pt idx="21">
                  <c:v>1501.8891504225617</c:v>
                </c:pt>
                <c:pt idx="22">
                  <c:v>1545.8002353803054</c:v>
                </c:pt>
                <c:pt idx="23">
                  <c:v>1551.8202118422751</c:v>
                </c:pt>
              </c:numCache>
            </c:numRef>
          </c:val>
        </c:ser>
        <c:ser>
          <c:idx val="2"/>
          <c:order val="2"/>
          <c:tx>
            <c:v>Prévision (0.5)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Lissage!$J$16:$J$39</c:f>
              <c:numCache>
                <c:formatCode>0</c:formatCode>
                <c:ptCount val="24"/>
                <c:pt idx="0">
                  <c:v>1074.5</c:v>
                </c:pt>
                <c:pt idx="1">
                  <c:v>1052.75</c:v>
                </c:pt>
                <c:pt idx="2">
                  <c:v>1202.875</c:v>
                </c:pt>
                <c:pt idx="3">
                  <c:v>1357.4375</c:v>
                </c:pt>
                <c:pt idx="4">
                  <c:v>1513.71875</c:v>
                </c:pt>
                <c:pt idx="5">
                  <c:v>1518.359375</c:v>
                </c:pt>
                <c:pt idx="6">
                  <c:v>1452.1796875</c:v>
                </c:pt>
                <c:pt idx="7">
                  <c:v>1401.58984375</c:v>
                </c:pt>
                <c:pt idx="8">
                  <c:v>1238.294921875</c:v>
                </c:pt>
                <c:pt idx="9">
                  <c:v>1430.6474609375</c:v>
                </c:pt>
                <c:pt idx="10">
                  <c:v>1593.32373046875</c:v>
                </c:pt>
                <c:pt idx="11">
                  <c:v>1469.661865234375</c:v>
                </c:pt>
                <c:pt idx="12">
                  <c:v>1250.3309326171875</c:v>
                </c:pt>
                <c:pt idx="13">
                  <c:v>1202.1654663085937</c:v>
                </c:pt>
                <c:pt idx="14">
                  <c:v>1384.5827331542969</c:v>
                </c:pt>
                <c:pt idx="15">
                  <c:v>1546.7913665771484</c:v>
                </c:pt>
                <c:pt idx="16">
                  <c:v>1772.3956832885742</c:v>
                </c:pt>
                <c:pt idx="17">
                  <c:v>1831.6978416442871</c:v>
                </c:pt>
                <c:pt idx="18">
                  <c:v>1735.3489208221436</c:v>
                </c:pt>
                <c:pt idx="19">
                  <c:v>1619.6744604110718</c:v>
                </c:pt>
                <c:pt idx="20">
                  <c:v>1445.3372302055359</c:v>
                </c:pt>
                <c:pt idx="21">
                  <c:v>1615.6686151027679</c:v>
                </c:pt>
                <c:pt idx="22">
                  <c:v>1778.334307551384</c:v>
                </c:pt>
                <c:pt idx="23">
                  <c:v>1692.167153775692</c:v>
                </c:pt>
              </c:numCache>
            </c:numRef>
          </c:val>
        </c:ser>
        <c:marker val="1"/>
        <c:axId val="160534912"/>
        <c:axId val="160536448"/>
      </c:lineChart>
      <c:catAx>
        <c:axId val="1605349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536448"/>
        <c:crosses val="autoZero"/>
        <c:auto val="1"/>
        <c:lblAlgn val="ctr"/>
        <c:lblOffset val="100"/>
        <c:tickLblSkip val="1"/>
        <c:tickMarkSkip val="1"/>
      </c:catAx>
      <c:valAx>
        <c:axId val="160536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53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668019788604181"/>
          <c:y val="0.93212772656219789"/>
          <c:w val="0.5098820789614199"/>
          <c:h val="6.10860403329595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Lissage exponentiel + correction de tendance</a:t>
            </a:r>
          </a:p>
        </c:rich>
      </c:tx>
      <c:layout>
        <c:manualLayout>
          <c:xMode val="edge"/>
          <c:yMode val="edge"/>
          <c:x val="0.16005311680141782"/>
          <c:y val="3.05011542184823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8624453104917303E-2"/>
          <c:y val="0.18518557918364306"/>
          <c:w val="0.89285829620625645"/>
          <c:h val="0.51198366009595442"/>
        </c:manualLayout>
      </c:layout>
      <c:lineChart>
        <c:grouping val="standard"/>
        <c:ser>
          <c:idx val="0"/>
          <c:order val="0"/>
          <c:tx>
            <c:v>Demande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'Tend+Saison'!$B$16:$B$39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'Tend+Saison'!$C$16:$C$39</c:f>
              <c:numCache>
                <c:formatCode>0</c:formatCode>
                <c:ptCount val="24"/>
                <c:pt idx="0">
                  <c:v>1031</c:v>
                </c:pt>
                <c:pt idx="1">
                  <c:v>1353</c:v>
                </c:pt>
                <c:pt idx="2">
                  <c:v>1512</c:v>
                </c:pt>
                <c:pt idx="3">
                  <c:v>1670</c:v>
                </c:pt>
                <c:pt idx="4">
                  <c:v>1523</c:v>
                </c:pt>
                <c:pt idx="5">
                  <c:v>1386</c:v>
                </c:pt>
                <c:pt idx="6">
                  <c:v>1351</c:v>
                </c:pt>
                <c:pt idx="7">
                  <c:v>1075</c:v>
                </c:pt>
                <c:pt idx="8">
                  <c:v>1623</c:v>
                </c:pt>
                <c:pt idx="9">
                  <c:v>1756</c:v>
                </c:pt>
                <c:pt idx="10">
                  <c:v>1346</c:v>
                </c:pt>
                <c:pt idx="11">
                  <c:v>1031</c:v>
                </c:pt>
                <c:pt idx="12">
                  <c:v>1154</c:v>
                </c:pt>
                <c:pt idx="13">
                  <c:v>1567</c:v>
                </c:pt>
                <c:pt idx="14">
                  <c:v>1709</c:v>
                </c:pt>
                <c:pt idx="15">
                  <c:v>1998</c:v>
                </c:pt>
                <c:pt idx="16">
                  <c:v>1891</c:v>
                </c:pt>
                <c:pt idx="17">
                  <c:v>1639</c:v>
                </c:pt>
                <c:pt idx="18">
                  <c:v>1504</c:v>
                </c:pt>
                <c:pt idx="19">
                  <c:v>1271</c:v>
                </c:pt>
                <c:pt idx="20">
                  <c:v>1786</c:v>
                </c:pt>
                <c:pt idx="21">
                  <c:v>1941</c:v>
                </c:pt>
                <c:pt idx="22">
                  <c:v>1606</c:v>
                </c:pt>
                <c:pt idx="23">
                  <c:v>1389</c:v>
                </c:pt>
              </c:numCache>
            </c:numRef>
          </c:val>
        </c:ser>
        <c:ser>
          <c:idx val="1"/>
          <c:order val="1"/>
          <c:tx>
            <c:v>Prévision (0.3)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'Tend+Saison'!$B$16:$B$39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'Tend+Saison'!$E$16:$E$39</c:f>
              <c:numCache>
                <c:formatCode>0</c:formatCode>
                <c:ptCount val="24"/>
                <c:pt idx="0">
                  <c:v>1112.7</c:v>
                </c:pt>
                <c:pt idx="1">
                  <c:v>1088.19</c:v>
                </c:pt>
                <c:pt idx="2">
                  <c:v>1167.6329999999998</c:v>
                </c:pt>
                <c:pt idx="3">
                  <c:v>1270.9430999999997</c:v>
                </c:pt>
                <c:pt idx="4">
                  <c:v>1390.6601699999997</c:v>
                </c:pt>
                <c:pt idx="5">
                  <c:v>1430.3621189999997</c:v>
                </c:pt>
                <c:pt idx="6">
                  <c:v>1417.0534832999997</c:v>
                </c:pt>
                <c:pt idx="7">
                  <c:v>1397.2374383099998</c:v>
                </c:pt>
                <c:pt idx="8">
                  <c:v>1300.5662068169997</c:v>
                </c:pt>
                <c:pt idx="9">
                  <c:v>1397.2963447718998</c:v>
                </c:pt>
                <c:pt idx="10">
                  <c:v>1504.9074413403298</c:v>
                </c:pt>
                <c:pt idx="11">
                  <c:v>1457.2352089382307</c:v>
                </c:pt>
                <c:pt idx="12">
                  <c:v>1329.3646462567615</c:v>
                </c:pt>
                <c:pt idx="13">
                  <c:v>1276.7552523797331</c:v>
                </c:pt>
                <c:pt idx="14">
                  <c:v>1363.828676665813</c:v>
                </c:pt>
                <c:pt idx="15">
                  <c:v>1467.3800736660689</c:v>
                </c:pt>
                <c:pt idx="16">
                  <c:v>1626.566051566248</c:v>
                </c:pt>
                <c:pt idx="17">
                  <c:v>1705.8962360963735</c:v>
                </c:pt>
                <c:pt idx="18">
                  <c:v>1685.8273652674613</c:v>
                </c:pt>
                <c:pt idx="19">
                  <c:v>1631.279155687223</c:v>
                </c:pt>
                <c:pt idx="20">
                  <c:v>1523.1954089810561</c:v>
                </c:pt>
                <c:pt idx="21">
                  <c:v>1602.0367862867392</c:v>
                </c:pt>
                <c:pt idx="22">
                  <c:v>1703.7257504007173</c:v>
                </c:pt>
                <c:pt idx="23">
                  <c:v>1674.408025280502</c:v>
                </c:pt>
              </c:numCache>
            </c:numRef>
          </c:val>
        </c:ser>
        <c:ser>
          <c:idx val="2"/>
          <c:order val="2"/>
          <c:tx>
            <c:v>Prévision corrigée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'Tend+Saison'!$B$16:$B$39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'Tend+Saison'!$N$16:$N$39</c:f>
              <c:numCache>
                <c:formatCode>0</c:formatCode>
                <c:ptCount val="24"/>
                <c:pt idx="0">
                  <c:v>1131.0666666666666</c:v>
                </c:pt>
                <c:pt idx="1">
                  <c:v>1219.912129671151</c:v>
                </c:pt>
                <c:pt idx="2">
                  <c:v>1305.6449999330137</c:v>
                </c:pt>
                <c:pt idx="3">
                  <c:v>1355.1006736034087</c:v>
                </c:pt>
                <c:pt idx="4">
                  <c:v>1418.1397013336941</c:v>
                </c:pt>
                <c:pt idx="5">
                  <c:v>1447.5549452491196</c:v>
                </c:pt>
                <c:pt idx="6">
                  <c:v>1473.7967325454185</c:v>
                </c:pt>
                <c:pt idx="7">
                  <c:v>1453.6256607348218</c:v>
                </c:pt>
                <c:pt idx="8">
                  <c:v>1478.3903501987259</c:v>
                </c:pt>
                <c:pt idx="9">
                  <c:v>1463.7931339513534</c:v>
                </c:pt>
                <c:pt idx="10">
                  <c:v>1456.9826932250185</c:v>
                </c:pt>
                <c:pt idx="11">
                  <c:v>1484.6517497291097</c:v>
                </c:pt>
                <c:pt idx="12">
                  <c:v>1427.6190038770312</c:v>
                </c:pt>
                <c:pt idx="13">
                  <c:v>1480.4959434487596</c:v>
                </c:pt>
                <c:pt idx="14">
                  <c:v>1546.549994255528</c:v>
                </c:pt>
                <c:pt idx="15">
                  <c:v>1575.3606296700098</c:v>
                </c:pt>
                <c:pt idx="16">
                  <c:v>1639.1091571356799</c:v>
                </c:pt>
                <c:pt idx="17">
                  <c:v>1696.5714614168774</c:v>
                </c:pt>
                <c:pt idx="18">
                  <c:v>1714.5425429325376</c:v>
                </c:pt>
                <c:pt idx="19">
                  <c:v>1676.1422775032727</c:v>
                </c:pt>
                <c:pt idx="20">
                  <c:v>1698.4440076251576</c:v>
                </c:pt>
                <c:pt idx="21">
                  <c:v>1661.4635604712109</c:v>
                </c:pt>
                <c:pt idx="22">
                  <c:v>1638.0480763063567</c:v>
                </c:pt>
                <c:pt idx="23">
                  <c:v>1676.0351602197918</c:v>
                </c:pt>
              </c:numCache>
            </c:numRef>
          </c:val>
        </c:ser>
        <c:marker val="1"/>
        <c:axId val="162900224"/>
        <c:axId val="162906112"/>
      </c:lineChart>
      <c:catAx>
        <c:axId val="1629002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906112"/>
        <c:crosses val="autoZero"/>
        <c:auto val="1"/>
        <c:lblAlgn val="ctr"/>
        <c:lblOffset val="100"/>
        <c:tickLblSkip val="1"/>
        <c:tickMarkSkip val="1"/>
      </c:catAx>
      <c:valAx>
        <c:axId val="162906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900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19051002205019"/>
          <c:y val="0.92592789591821534"/>
          <c:w val="0.54629700197508724"/>
          <c:h val="5.882365456421603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Lissage exponentiel + correction de saisonnalité</a:t>
            </a:r>
          </a:p>
        </c:rich>
      </c:tx>
      <c:layout>
        <c:manualLayout>
          <c:xMode val="edge"/>
          <c:yMode val="edge"/>
          <c:x val="0.16734165103857099"/>
          <c:y val="3.21101277036084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9068943294723257E-2"/>
          <c:y val="0.13532125246520713"/>
          <c:w val="0.8933884918349515"/>
          <c:h val="0.58027587921521018"/>
        </c:manualLayout>
      </c:layout>
      <c:lineChart>
        <c:grouping val="standard"/>
        <c:ser>
          <c:idx val="0"/>
          <c:order val="0"/>
          <c:tx>
            <c:v>Demande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Saisonnalité!$B$16:$B$39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Saisonnalité!$C$16:$C$39</c:f>
              <c:numCache>
                <c:formatCode>0</c:formatCode>
                <c:ptCount val="24"/>
                <c:pt idx="0">
                  <c:v>1031</c:v>
                </c:pt>
                <c:pt idx="1">
                  <c:v>1353</c:v>
                </c:pt>
                <c:pt idx="2">
                  <c:v>1512</c:v>
                </c:pt>
                <c:pt idx="3">
                  <c:v>1670</c:v>
                </c:pt>
                <c:pt idx="4">
                  <c:v>1523</c:v>
                </c:pt>
                <c:pt idx="5">
                  <c:v>1386</c:v>
                </c:pt>
                <c:pt idx="6">
                  <c:v>1351</c:v>
                </c:pt>
                <c:pt idx="7">
                  <c:v>1075</c:v>
                </c:pt>
                <c:pt idx="8">
                  <c:v>1623</c:v>
                </c:pt>
                <c:pt idx="9">
                  <c:v>1756</c:v>
                </c:pt>
                <c:pt idx="10">
                  <c:v>1346</c:v>
                </c:pt>
                <c:pt idx="11">
                  <c:v>1031</c:v>
                </c:pt>
                <c:pt idx="12">
                  <c:v>1154</c:v>
                </c:pt>
                <c:pt idx="13">
                  <c:v>1567</c:v>
                </c:pt>
                <c:pt idx="14">
                  <c:v>1709</c:v>
                </c:pt>
                <c:pt idx="15">
                  <c:v>1998</c:v>
                </c:pt>
                <c:pt idx="16">
                  <c:v>1891</c:v>
                </c:pt>
                <c:pt idx="17">
                  <c:v>1639</c:v>
                </c:pt>
                <c:pt idx="18">
                  <c:v>1504</c:v>
                </c:pt>
                <c:pt idx="19">
                  <c:v>1271</c:v>
                </c:pt>
                <c:pt idx="20">
                  <c:v>1786</c:v>
                </c:pt>
                <c:pt idx="21">
                  <c:v>1941</c:v>
                </c:pt>
                <c:pt idx="22">
                  <c:v>1606</c:v>
                </c:pt>
                <c:pt idx="23">
                  <c:v>1389</c:v>
                </c:pt>
              </c:numCache>
            </c:numRef>
          </c:val>
        </c:ser>
        <c:ser>
          <c:idx val="1"/>
          <c:order val="1"/>
          <c:tx>
            <c:v>Prévision (0.3)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Saisonnalité!$B$16:$B$39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Saisonnalité!$E$16:$E$39</c:f>
              <c:numCache>
                <c:formatCode>0</c:formatCode>
                <c:ptCount val="24"/>
                <c:pt idx="0">
                  <c:v>1112.7</c:v>
                </c:pt>
                <c:pt idx="1">
                  <c:v>1088.19</c:v>
                </c:pt>
                <c:pt idx="2">
                  <c:v>1167.6329999999998</c:v>
                </c:pt>
                <c:pt idx="3">
                  <c:v>1270.9430999999997</c:v>
                </c:pt>
                <c:pt idx="4">
                  <c:v>1390.6601699999997</c:v>
                </c:pt>
                <c:pt idx="5">
                  <c:v>1430.3621189999997</c:v>
                </c:pt>
                <c:pt idx="6">
                  <c:v>1417.0534832999997</c:v>
                </c:pt>
                <c:pt idx="7">
                  <c:v>1397.2374383099998</c:v>
                </c:pt>
                <c:pt idx="8">
                  <c:v>1300.5662068169997</c:v>
                </c:pt>
                <c:pt idx="9">
                  <c:v>1397.2963447718998</c:v>
                </c:pt>
                <c:pt idx="10">
                  <c:v>1504.9074413403298</c:v>
                </c:pt>
                <c:pt idx="11">
                  <c:v>1457.2352089382307</c:v>
                </c:pt>
                <c:pt idx="12">
                  <c:v>1329.3646462567615</c:v>
                </c:pt>
                <c:pt idx="13">
                  <c:v>1276.7552523797331</c:v>
                </c:pt>
                <c:pt idx="14">
                  <c:v>1363.828676665813</c:v>
                </c:pt>
                <c:pt idx="15">
                  <c:v>1467.3800736660689</c:v>
                </c:pt>
                <c:pt idx="16">
                  <c:v>1626.566051566248</c:v>
                </c:pt>
                <c:pt idx="17">
                  <c:v>1705.8962360963735</c:v>
                </c:pt>
                <c:pt idx="18">
                  <c:v>1685.8273652674613</c:v>
                </c:pt>
                <c:pt idx="19">
                  <c:v>1631.279155687223</c:v>
                </c:pt>
                <c:pt idx="20">
                  <c:v>1523.1954089810561</c:v>
                </c:pt>
                <c:pt idx="21">
                  <c:v>1602.0367862867392</c:v>
                </c:pt>
                <c:pt idx="22">
                  <c:v>1703.7257504007173</c:v>
                </c:pt>
                <c:pt idx="23">
                  <c:v>1674.408025280502</c:v>
                </c:pt>
              </c:numCache>
            </c:numRef>
          </c:val>
        </c:ser>
        <c:ser>
          <c:idx val="2"/>
          <c:order val="2"/>
          <c:tx>
            <c:v>Prévision corrigée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Saisonnalité!$B$16:$B$39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Saisonnalité!$L$16:$L$39</c:f>
              <c:numCache>
                <c:formatCode>0</c:formatCode>
                <c:ptCount val="24"/>
                <c:pt idx="0">
                  <c:v>933.69999999999993</c:v>
                </c:pt>
                <c:pt idx="1">
                  <c:v>1202.5330269058295</c:v>
                </c:pt>
                <c:pt idx="2">
                  <c:v>1433.5920934538806</c:v>
                </c:pt>
                <c:pt idx="3">
                  <c:v>1511.756257870881</c:v>
                </c:pt>
                <c:pt idx="4">
                  <c:v>1471.1704923031245</c:v>
                </c:pt>
                <c:pt idx="5">
                  <c:v>1334.8437850668081</c:v>
                </c:pt>
                <c:pt idx="6">
                  <c:v>1436.6028511177585</c:v>
                </c:pt>
                <c:pt idx="7">
                  <c:v>1021.9460069702319</c:v>
                </c:pt>
                <c:pt idx="8">
                  <c:v>1683.0844983392183</c:v>
                </c:pt>
                <c:pt idx="9">
                  <c:v>1779.9316505709044</c:v>
                </c:pt>
                <c:pt idx="10">
                  <c:v>1259.6801742959465</c:v>
                </c:pt>
                <c:pt idx="11">
                  <c:v>1178.4447785065656</c:v>
                </c:pt>
                <c:pt idx="12">
                  <c:v>1017.8671362315895</c:v>
                </c:pt>
                <c:pt idx="13">
                  <c:v>1358.2060101707393</c:v>
                </c:pt>
                <c:pt idx="14">
                  <c:v>1608.024737040005</c:v>
                </c:pt>
                <c:pt idx="15">
                  <c:v>1759.1960290659581</c:v>
                </c:pt>
                <c:pt idx="16">
                  <c:v>1695.2648844833122</c:v>
                </c:pt>
                <c:pt idx="17">
                  <c:v>1586.5480502364255</c:v>
                </c:pt>
                <c:pt idx="18">
                  <c:v>1625.8935493435638</c:v>
                </c:pt>
                <c:pt idx="19">
                  <c:v>1211.3304909645371</c:v>
                </c:pt>
                <c:pt idx="20">
                  <c:v>1917.2717507683358</c:v>
                </c:pt>
                <c:pt idx="21">
                  <c:v>2020.4834087249269</c:v>
                </c:pt>
                <c:pt idx="22">
                  <c:v>1478.9460153615773</c:v>
                </c:pt>
                <c:pt idx="23">
                  <c:v>1263.1711034025432</c:v>
                </c:pt>
              </c:numCache>
            </c:numRef>
          </c:val>
        </c:ser>
        <c:ser>
          <c:idx val="3"/>
          <c:order val="3"/>
          <c:tx>
            <c:v>Dem_desaison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Saisonnalité!$J$16:$J$39</c:f>
              <c:numCache>
                <c:formatCode>0</c:formatCode>
                <c:ptCount val="24"/>
                <c:pt idx="0">
                  <c:v>1349.6236920777278</c:v>
                </c:pt>
                <c:pt idx="1">
                  <c:v>1418.1804308797127</c:v>
                </c:pt>
                <c:pt idx="2">
                  <c:v>1379.3062500000001</c:v>
                </c:pt>
                <c:pt idx="3">
                  <c:v>1468.3760040160641</c:v>
                </c:pt>
                <c:pt idx="4">
                  <c:v>1419.2787975525407</c:v>
                </c:pt>
                <c:pt idx="5">
                  <c:v>1438.5653333333332</c:v>
                </c:pt>
                <c:pt idx="6">
                  <c:v>1317.8927875243664</c:v>
                </c:pt>
                <c:pt idx="7">
                  <c:v>1447.7989234909651</c:v>
                </c:pt>
                <c:pt idx="8">
                  <c:v>1347.8826458036983</c:v>
                </c:pt>
                <c:pt idx="9">
                  <c:v>1364.2200044355732</c:v>
                </c:pt>
                <c:pt idx="10">
                  <c:v>1471.6098626716605</c:v>
                </c:pt>
                <c:pt idx="11">
                  <c:v>1229.6877766428329</c:v>
                </c:pt>
                <c:pt idx="12">
                  <c:v>1533.7158086323454</c:v>
                </c:pt>
                <c:pt idx="13">
                  <c:v>1623.3726185650587</c:v>
                </c:pt>
                <c:pt idx="14">
                  <c:v>1564.3899534383957</c:v>
                </c:pt>
                <c:pt idx="15">
                  <c:v>1703.2650100066712</c:v>
                </c:pt>
                <c:pt idx="16">
                  <c:v>1740.9665886167147</c:v>
                </c:pt>
                <c:pt idx="17">
                  <c:v>1668.2095778574273</c:v>
                </c:pt>
                <c:pt idx="18">
                  <c:v>1508.5745682888539</c:v>
                </c:pt>
                <c:pt idx="19">
                  <c:v>1672.6870494335735</c:v>
                </c:pt>
                <c:pt idx="20">
                  <c:v>1506.9559260482006</c:v>
                </c:pt>
                <c:pt idx="21">
                  <c:v>1522.1573335378951</c:v>
                </c:pt>
                <c:pt idx="22">
                  <c:v>1700.3042667771335</c:v>
                </c:pt>
                <c:pt idx="23">
                  <c:v>1766.1376865671641</c:v>
                </c:pt>
              </c:numCache>
            </c:numRef>
          </c:val>
        </c:ser>
        <c:marker val="1"/>
        <c:axId val="160628096"/>
        <c:axId val="162739328"/>
      </c:lineChart>
      <c:catAx>
        <c:axId val="1606280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739328"/>
        <c:crosses val="autoZero"/>
        <c:auto val="1"/>
        <c:lblAlgn val="ctr"/>
        <c:lblOffset val="100"/>
        <c:tickLblSkip val="1"/>
        <c:tickMarkSkip val="1"/>
      </c:catAx>
      <c:valAx>
        <c:axId val="162739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0628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58459269646263"/>
          <c:y val="0.92431296175387234"/>
          <c:w val="0.69500766358761334"/>
          <c:h val="5.963309430670144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Lissage exponentiel + tendance et saisonnalité</a:t>
            </a:r>
          </a:p>
        </c:rich>
      </c:tx>
      <c:layout>
        <c:manualLayout>
          <c:xMode val="edge"/>
          <c:yMode val="edge"/>
          <c:x val="0.15306131981756704"/>
          <c:y val="3.042599362361500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183725899661874E-2"/>
          <c:y val="0.16227196599261337"/>
          <c:w val="0.89923525392820647"/>
          <c:h val="0.6186618703468385"/>
        </c:manualLayout>
      </c:layout>
      <c:lineChart>
        <c:grouping val="standard"/>
        <c:ser>
          <c:idx val="0"/>
          <c:order val="0"/>
          <c:tx>
            <c:v>Demande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'Tend+Saison'!$B$16:$B$39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'Tend+Saison'!$C$16:$C$39</c:f>
              <c:numCache>
                <c:formatCode>0</c:formatCode>
                <c:ptCount val="24"/>
                <c:pt idx="0">
                  <c:v>1031</c:v>
                </c:pt>
                <c:pt idx="1">
                  <c:v>1353</c:v>
                </c:pt>
                <c:pt idx="2">
                  <c:v>1512</c:v>
                </c:pt>
                <c:pt idx="3">
                  <c:v>1670</c:v>
                </c:pt>
                <c:pt idx="4">
                  <c:v>1523</c:v>
                </c:pt>
                <c:pt idx="5">
                  <c:v>1386</c:v>
                </c:pt>
                <c:pt idx="6">
                  <c:v>1351</c:v>
                </c:pt>
                <c:pt idx="7">
                  <c:v>1075</c:v>
                </c:pt>
                <c:pt idx="8">
                  <c:v>1623</c:v>
                </c:pt>
                <c:pt idx="9">
                  <c:v>1756</c:v>
                </c:pt>
                <c:pt idx="10">
                  <c:v>1346</c:v>
                </c:pt>
                <c:pt idx="11">
                  <c:v>1031</c:v>
                </c:pt>
                <c:pt idx="12">
                  <c:v>1154</c:v>
                </c:pt>
                <c:pt idx="13">
                  <c:v>1567</c:v>
                </c:pt>
                <c:pt idx="14">
                  <c:v>1709</c:v>
                </c:pt>
                <c:pt idx="15">
                  <c:v>1998</c:v>
                </c:pt>
                <c:pt idx="16">
                  <c:v>1891</c:v>
                </c:pt>
                <c:pt idx="17">
                  <c:v>1639</c:v>
                </c:pt>
                <c:pt idx="18">
                  <c:v>1504</c:v>
                </c:pt>
                <c:pt idx="19">
                  <c:v>1271</c:v>
                </c:pt>
                <c:pt idx="20">
                  <c:v>1786</c:v>
                </c:pt>
                <c:pt idx="21">
                  <c:v>1941</c:v>
                </c:pt>
                <c:pt idx="22">
                  <c:v>1606</c:v>
                </c:pt>
                <c:pt idx="23">
                  <c:v>1389</c:v>
                </c:pt>
              </c:numCache>
            </c:numRef>
          </c:val>
        </c:ser>
        <c:ser>
          <c:idx val="1"/>
          <c:order val="1"/>
          <c:tx>
            <c:v>Prévision (0.3)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'Tend+Saison'!$B$16:$B$39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'Tend+Saison'!$E$16:$E$39</c:f>
              <c:numCache>
                <c:formatCode>0</c:formatCode>
                <c:ptCount val="24"/>
                <c:pt idx="0">
                  <c:v>1112.7</c:v>
                </c:pt>
                <c:pt idx="1">
                  <c:v>1088.19</c:v>
                </c:pt>
                <c:pt idx="2">
                  <c:v>1167.6329999999998</c:v>
                </c:pt>
                <c:pt idx="3">
                  <c:v>1270.9430999999997</c:v>
                </c:pt>
                <c:pt idx="4">
                  <c:v>1390.6601699999997</c:v>
                </c:pt>
                <c:pt idx="5">
                  <c:v>1430.3621189999997</c:v>
                </c:pt>
                <c:pt idx="6">
                  <c:v>1417.0534832999997</c:v>
                </c:pt>
                <c:pt idx="7">
                  <c:v>1397.2374383099998</c:v>
                </c:pt>
                <c:pt idx="8">
                  <c:v>1300.5662068169997</c:v>
                </c:pt>
                <c:pt idx="9">
                  <c:v>1397.2963447718998</c:v>
                </c:pt>
                <c:pt idx="10">
                  <c:v>1504.9074413403298</c:v>
                </c:pt>
                <c:pt idx="11">
                  <c:v>1457.2352089382307</c:v>
                </c:pt>
                <c:pt idx="12">
                  <c:v>1329.3646462567615</c:v>
                </c:pt>
                <c:pt idx="13">
                  <c:v>1276.7552523797331</c:v>
                </c:pt>
                <c:pt idx="14">
                  <c:v>1363.828676665813</c:v>
                </c:pt>
                <c:pt idx="15">
                  <c:v>1467.3800736660689</c:v>
                </c:pt>
                <c:pt idx="16">
                  <c:v>1626.566051566248</c:v>
                </c:pt>
                <c:pt idx="17">
                  <c:v>1705.8962360963735</c:v>
                </c:pt>
                <c:pt idx="18">
                  <c:v>1685.8273652674613</c:v>
                </c:pt>
                <c:pt idx="19">
                  <c:v>1631.279155687223</c:v>
                </c:pt>
                <c:pt idx="20">
                  <c:v>1523.1954089810561</c:v>
                </c:pt>
                <c:pt idx="21">
                  <c:v>1602.0367862867392</c:v>
                </c:pt>
                <c:pt idx="22">
                  <c:v>1703.7257504007173</c:v>
                </c:pt>
                <c:pt idx="23">
                  <c:v>1674.408025280502</c:v>
                </c:pt>
              </c:numCache>
            </c:numRef>
          </c:val>
        </c:ser>
        <c:ser>
          <c:idx val="2"/>
          <c:order val="2"/>
          <c:tx>
            <c:v>Prévision corrigée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'Tend+Saison'!$B$16:$B$39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'Tend+Saison'!$O$16:$O$39</c:f>
              <c:numCache>
                <c:formatCode>0</c:formatCode>
                <c:ptCount val="24"/>
                <c:pt idx="0">
                  <c:v>864.04065087068227</c:v>
                </c:pt>
                <c:pt idx="1">
                  <c:v>1163.8442299060766</c:v>
                </c:pt>
                <c:pt idx="2">
                  <c:v>1431.2522979568289</c:v>
                </c:pt>
                <c:pt idx="3">
                  <c:v>1541.1707346948276</c:v>
                </c:pt>
                <c:pt idx="4">
                  <c:v>1521.7776583823454</c:v>
                </c:pt>
                <c:pt idx="5">
                  <c:v>1394.6611305212043</c:v>
                </c:pt>
                <c:pt idx="6">
                  <c:v>1510.820458627062</c:v>
                </c:pt>
                <c:pt idx="7">
                  <c:v>1079.3263898290813</c:v>
                </c:pt>
                <c:pt idx="8">
                  <c:v>1780.1457314125682</c:v>
                </c:pt>
                <c:pt idx="9">
                  <c:v>1884.1687813264782</c:v>
                </c:pt>
                <c:pt idx="10">
                  <c:v>1332.6213385934795</c:v>
                </c:pt>
                <c:pt idx="11">
                  <c:v>1244.7679671579776</c:v>
                </c:pt>
                <c:pt idx="12">
                  <c:v>1074.1705348549472</c:v>
                </c:pt>
                <c:pt idx="13">
                  <c:v>1429.0848058253312</c:v>
                </c:pt>
                <c:pt idx="14">
                  <c:v>1689.5109396308064</c:v>
                </c:pt>
                <c:pt idx="15">
                  <c:v>1847.9628945517711</c:v>
                </c:pt>
                <c:pt idx="16">
                  <c:v>1780.3646758128327</c:v>
                </c:pt>
                <c:pt idx="17">
                  <c:v>1666.8652801008623</c:v>
                </c:pt>
                <c:pt idx="18">
                  <c:v>1709.3434018945929</c:v>
                </c:pt>
                <c:pt idx="19">
                  <c:v>1273.6254731140978</c:v>
                </c:pt>
                <c:pt idx="20">
                  <c:v>2012.9460624460933</c:v>
                </c:pt>
                <c:pt idx="21">
                  <c:v>2118.6382641399496</c:v>
                </c:pt>
                <c:pt idx="22">
                  <c:v>1547.196735284572</c:v>
                </c:pt>
                <c:pt idx="23">
                  <c:v>1318.1377959666561</c:v>
                </c:pt>
              </c:numCache>
            </c:numRef>
          </c:val>
        </c:ser>
        <c:ser>
          <c:idx val="3"/>
          <c:order val="3"/>
          <c:tx>
            <c:v>sans tendance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Saisonnalité!$L$16:$L$39</c:f>
              <c:numCache>
                <c:formatCode>0</c:formatCode>
                <c:ptCount val="24"/>
                <c:pt idx="0">
                  <c:v>933.69999999999993</c:v>
                </c:pt>
                <c:pt idx="1">
                  <c:v>1202.5330269058295</c:v>
                </c:pt>
                <c:pt idx="2">
                  <c:v>1433.5920934538806</c:v>
                </c:pt>
                <c:pt idx="3">
                  <c:v>1511.756257870881</c:v>
                </c:pt>
                <c:pt idx="4">
                  <c:v>1471.1704923031245</c:v>
                </c:pt>
                <c:pt idx="5">
                  <c:v>1334.8437850668081</c:v>
                </c:pt>
                <c:pt idx="6">
                  <c:v>1436.6028511177585</c:v>
                </c:pt>
                <c:pt idx="7">
                  <c:v>1021.9460069702319</c:v>
                </c:pt>
                <c:pt idx="8">
                  <c:v>1683.0844983392183</c:v>
                </c:pt>
                <c:pt idx="9">
                  <c:v>1779.9316505709044</c:v>
                </c:pt>
                <c:pt idx="10">
                  <c:v>1259.6801742959465</c:v>
                </c:pt>
                <c:pt idx="11">
                  <c:v>1178.4447785065656</c:v>
                </c:pt>
                <c:pt idx="12">
                  <c:v>1017.8671362315895</c:v>
                </c:pt>
                <c:pt idx="13">
                  <c:v>1358.2060101707393</c:v>
                </c:pt>
                <c:pt idx="14">
                  <c:v>1608.024737040005</c:v>
                </c:pt>
                <c:pt idx="15">
                  <c:v>1759.1960290659581</c:v>
                </c:pt>
                <c:pt idx="16">
                  <c:v>1695.2648844833122</c:v>
                </c:pt>
                <c:pt idx="17">
                  <c:v>1586.5480502364255</c:v>
                </c:pt>
                <c:pt idx="18">
                  <c:v>1625.8935493435638</c:v>
                </c:pt>
                <c:pt idx="19">
                  <c:v>1211.3304909645371</c:v>
                </c:pt>
                <c:pt idx="20">
                  <c:v>1917.2717507683358</c:v>
                </c:pt>
                <c:pt idx="21">
                  <c:v>2020.4834087249269</c:v>
                </c:pt>
                <c:pt idx="22">
                  <c:v>1478.9460153615773</c:v>
                </c:pt>
                <c:pt idx="23">
                  <c:v>1263.1711034025432</c:v>
                </c:pt>
              </c:numCache>
            </c:numRef>
          </c:val>
        </c:ser>
        <c:marker val="1"/>
        <c:axId val="162790400"/>
        <c:axId val="162865920"/>
      </c:lineChart>
      <c:catAx>
        <c:axId val="1627904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865920"/>
        <c:crosses val="autoZero"/>
        <c:auto val="1"/>
        <c:lblAlgn val="ctr"/>
        <c:lblOffset val="100"/>
        <c:tickLblSkip val="1"/>
        <c:tickMarkSkip val="1"/>
      </c:catAx>
      <c:valAx>
        <c:axId val="162865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79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857153978716156"/>
          <c:y val="0.93914900318224992"/>
          <c:w val="0.70280656016232868"/>
          <c:h val="5.476678852250701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58</xdr:row>
      <xdr:rowOff>114300</xdr:rowOff>
    </xdr:from>
    <xdr:to>
      <xdr:col>12</xdr:col>
      <xdr:colOff>714375</xdr:colOff>
      <xdr:row>86</xdr:row>
      <xdr:rowOff>142875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42</xdr:row>
      <xdr:rowOff>28575</xdr:rowOff>
    </xdr:from>
    <xdr:to>
      <xdr:col>13</xdr:col>
      <xdr:colOff>742950</xdr:colOff>
      <xdr:row>68</xdr:row>
      <xdr:rowOff>19050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41</xdr:row>
      <xdr:rowOff>114300</xdr:rowOff>
    </xdr:from>
    <xdr:to>
      <xdr:col>13</xdr:col>
      <xdr:colOff>19050</xdr:colOff>
      <xdr:row>67</xdr:row>
      <xdr:rowOff>114300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41</xdr:row>
      <xdr:rowOff>114300</xdr:rowOff>
    </xdr:from>
    <xdr:to>
      <xdr:col>12</xdr:col>
      <xdr:colOff>571500</xdr:colOff>
      <xdr:row>68</xdr:row>
      <xdr:rowOff>114300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41</xdr:row>
      <xdr:rowOff>114300</xdr:rowOff>
    </xdr:from>
    <xdr:to>
      <xdr:col>13</xdr:col>
      <xdr:colOff>0</xdr:colOff>
      <xdr:row>67</xdr:row>
      <xdr:rowOff>57150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41</xdr:row>
      <xdr:rowOff>114300</xdr:rowOff>
    </xdr:from>
    <xdr:to>
      <xdr:col>13</xdr:col>
      <xdr:colOff>0</xdr:colOff>
      <xdr:row>70</xdr:row>
      <xdr:rowOff>114300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C17" sqref="C17"/>
    </sheetView>
  </sheetViews>
  <sheetFormatPr baseColWidth="10" defaultRowHeight="12.75"/>
  <cols>
    <col min="3" max="6" width="8.7109375" customWidth="1"/>
    <col min="7" max="7" width="8.7109375" style="3" customWidth="1"/>
    <col min="9" max="9" width="11.5703125" style="3" customWidth="1"/>
    <col min="10" max="10" width="12.5703125" bestFit="1" customWidth="1"/>
  </cols>
  <sheetData>
    <row r="1" spans="1:11" ht="15.75">
      <c r="A1" s="62" t="s">
        <v>16</v>
      </c>
      <c r="B1" s="63"/>
    </row>
    <row r="3" spans="1:11" ht="13.5" thickBot="1"/>
    <row r="4" spans="1:11">
      <c r="B4" s="54" t="s">
        <v>0</v>
      </c>
      <c r="C4" s="55" t="s">
        <v>44</v>
      </c>
      <c r="D4" s="55" t="s">
        <v>60</v>
      </c>
      <c r="E4" s="56" t="s">
        <v>59</v>
      </c>
    </row>
    <row r="5" spans="1:11">
      <c r="A5" s="3">
        <v>1</v>
      </c>
      <c r="B5" s="57" t="s">
        <v>4</v>
      </c>
      <c r="C5" s="53">
        <v>892</v>
      </c>
      <c r="D5" s="53">
        <v>1031</v>
      </c>
      <c r="E5" s="58">
        <v>1154</v>
      </c>
      <c r="H5" s="2"/>
      <c r="I5" s="5"/>
      <c r="J5" s="2"/>
      <c r="K5" s="2"/>
    </row>
    <row r="6" spans="1:11">
      <c r="A6" s="3">
        <f>A5+1</f>
        <v>2</v>
      </c>
      <c r="B6" s="57" t="s">
        <v>5</v>
      </c>
      <c r="C6" s="53">
        <v>1114</v>
      </c>
      <c r="D6" s="53">
        <v>1353</v>
      </c>
      <c r="E6" s="58">
        <v>1567</v>
      </c>
      <c r="H6" s="2"/>
      <c r="I6" s="5"/>
      <c r="J6" s="2"/>
      <c r="K6" s="2"/>
    </row>
    <row r="7" spans="1:11">
      <c r="A7" s="3">
        <f t="shared" ref="A7:A16" si="0">A6+1</f>
        <v>3</v>
      </c>
      <c r="B7" s="57" t="s">
        <v>6</v>
      </c>
      <c r="C7" s="53">
        <v>1280</v>
      </c>
      <c r="D7" s="53">
        <v>1512</v>
      </c>
      <c r="E7" s="58">
        <v>1709</v>
      </c>
      <c r="H7" s="2"/>
      <c r="I7" s="5"/>
      <c r="J7" s="2"/>
      <c r="K7" s="2"/>
    </row>
    <row r="8" spans="1:11">
      <c r="A8" s="3">
        <f t="shared" si="0"/>
        <v>4</v>
      </c>
      <c r="B8" s="57" t="s">
        <v>7</v>
      </c>
      <c r="C8" s="53">
        <v>1328</v>
      </c>
      <c r="D8" s="53">
        <v>1670</v>
      </c>
      <c r="E8" s="58">
        <v>1998</v>
      </c>
      <c r="H8" s="2"/>
      <c r="I8" s="5"/>
      <c r="J8" s="2"/>
      <c r="K8" s="2"/>
    </row>
    <row r="9" spans="1:11">
      <c r="A9" s="3">
        <f t="shared" si="0"/>
        <v>5</v>
      </c>
      <c r="B9" s="57" t="s">
        <v>8</v>
      </c>
      <c r="C9" s="53">
        <v>1253</v>
      </c>
      <c r="D9" s="53">
        <v>1523</v>
      </c>
      <c r="E9" s="58">
        <v>1891</v>
      </c>
      <c r="H9" s="2"/>
      <c r="I9" s="5"/>
      <c r="J9" s="2"/>
      <c r="K9" s="2"/>
    </row>
    <row r="10" spans="1:11">
      <c r="A10" s="3">
        <f t="shared" si="0"/>
        <v>6</v>
      </c>
      <c r="B10" s="57" t="s">
        <v>9</v>
      </c>
      <c r="C10" s="53">
        <v>1125</v>
      </c>
      <c r="D10" s="53">
        <v>1386</v>
      </c>
      <c r="E10" s="58">
        <v>1639</v>
      </c>
      <c r="H10" s="2"/>
      <c r="I10" s="5"/>
      <c r="J10" s="2"/>
      <c r="K10" s="2"/>
    </row>
    <row r="11" spans="1:11">
      <c r="A11" s="3">
        <f t="shared" si="0"/>
        <v>7</v>
      </c>
      <c r="B11" s="57" t="s">
        <v>10</v>
      </c>
      <c r="C11" s="53">
        <v>1197</v>
      </c>
      <c r="D11" s="53">
        <v>1351</v>
      </c>
      <c r="E11" s="58">
        <v>1504</v>
      </c>
      <c r="H11" s="2"/>
      <c r="I11" s="5"/>
      <c r="J11" s="2"/>
      <c r="K11" s="2"/>
    </row>
    <row r="12" spans="1:11">
      <c r="A12" s="3">
        <f t="shared" si="0"/>
        <v>8</v>
      </c>
      <c r="B12" s="57" t="s">
        <v>11</v>
      </c>
      <c r="C12" s="53">
        <v>867</v>
      </c>
      <c r="D12" s="53">
        <v>1075</v>
      </c>
      <c r="E12" s="58">
        <v>1271</v>
      </c>
      <c r="H12" s="2"/>
      <c r="I12" s="5"/>
      <c r="J12" s="2"/>
      <c r="K12" s="2"/>
    </row>
    <row r="13" spans="1:11">
      <c r="A13" s="3">
        <f t="shared" si="0"/>
        <v>9</v>
      </c>
      <c r="B13" s="57" t="s">
        <v>12</v>
      </c>
      <c r="C13" s="53">
        <v>1406</v>
      </c>
      <c r="D13" s="53">
        <v>1623</v>
      </c>
      <c r="E13" s="58">
        <v>1786</v>
      </c>
      <c r="H13" s="2"/>
      <c r="I13" s="5"/>
      <c r="J13" s="2"/>
      <c r="K13" s="2"/>
    </row>
    <row r="14" spans="1:11">
      <c r="A14" s="3">
        <f t="shared" si="0"/>
        <v>10</v>
      </c>
      <c r="B14" s="57" t="s">
        <v>13</v>
      </c>
      <c r="C14" s="53">
        <v>1503</v>
      </c>
      <c r="D14" s="53">
        <v>1756</v>
      </c>
      <c r="E14" s="58">
        <v>1941</v>
      </c>
      <c r="H14" s="2"/>
      <c r="I14" s="5"/>
      <c r="J14" s="2"/>
      <c r="K14" s="2"/>
    </row>
    <row r="15" spans="1:11">
      <c r="A15" s="3">
        <f t="shared" si="0"/>
        <v>11</v>
      </c>
      <c r="B15" s="57" t="s">
        <v>14</v>
      </c>
      <c r="C15" s="53">
        <v>1068</v>
      </c>
      <c r="D15" s="53">
        <v>1346</v>
      </c>
      <c r="E15" s="58">
        <v>1606</v>
      </c>
      <c r="H15" s="2"/>
      <c r="I15" s="5"/>
      <c r="J15" s="2"/>
      <c r="K15" s="2"/>
    </row>
    <row r="16" spans="1:11" ht="13.5" thickBot="1">
      <c r="A16" s="3">
        <f t="shared" si="0"/>
        <v>12</v>
      </c>
      <c r="B16" s="59" t="s">
        <v>15</v>
      </c>
      <c r="C16" s="60">
        <v>979</v>
      </c>
      <c r="D16" s="60">
        <v>1031</v>
      </c>
      <c r="E16" s="61">
        <v>1389</v>
      </c>
      <c r="H16" s="2"/>
      <c r="J16" s="2"/>
      <c r="K16" s="2"/>
    </row>
    <row r="17" spans="1:10">
      <c r="B17" s="71" t="s">
        <v>64</v>
      </c>
      <c r="C17" s="72">
        <f>LINEST(A._1993,MM)</f>
        <v>4.9230769230769305</v>
      </c>
      <c r="D17" s="72">
        <f>LINEST(A._1994,MM)</f>
        <v>0.10839160839160483</v>
      </c>
      <c r="E17" s="72">
        <f>LINEST(A._1995,MM)</f>
        <v>5.2622377622377678</v>
      </c>
    </row>
    <row r="18" spans="1:10">
      <c r="B18" s="71" t="s">
        <v>65</v>
      </c>
      <c r="C18" s="72">
        <f>INTERCEPT(A._1993,MM)</f>
        <v>1135.6666666666667</v>
      </c>
      <c r="D18" s="72">
        <f>INTERCEPT(A._1994,MM)</f>
        <v>1387.3787878787878</v>
      </c>
      <c r="E18" s="72">
        <f>INTERCEPT(A._1995,MM)</f>
        <v>1587.0454545454545</v>
      </c>
      <c r="H18" s="66"/>
      <c r="I18" s="70" t="s">
        <v>50</v>
      </c>
    </row>
    <row r="19" spans="1:10">
      <c r="H19" s="67" t="s">
        <v>62</v>
      </c>
      <c r="I19" s="68">
        <f>INTERCEPT(Demande,Mois)</f>
        <v>1074.2952380952381</v>
      </c>
    </row>
    <row r="20" spans="1:10">
      <c r="C20" s="9" t="s">
        <v>47</v>
      </c>
      <c r="D20" s="9" t="s">
        <v>48</v>
      </c>
      <c r="E20" s="9" t="s">
        <v>51</v>
      </c>
      <c r="F20" s="9" t="s">
        <v>52</v>
      </c>
      <c r="G20" s="9" t="s">
        <v>55</v>
      </c>
      <c r="H20" s="67" t="s">
        <v>61</v>
      </c>
      <c r="I20" s="69">
        <f>LINEST(Demande,Mois)</f>
        <v>17.19124839124839</v>
      </c>
    </row>
    <row r="21" spans="1:10">
      <c r="A21" s="1" t="s">
        <v>1</v>
      </c>
      <c r="B21" s="6" t="s">
        <v>4</v>
      </c>
      <c r="C21" s="3">
        <v>892</v>
      </c>
      <c r="D21" s="3">
        <f>C21</f>
        <v>892</v>
      </c>
      <c r="E21" s="3">
        <f>D21-C21</f>
        <v>0</v>
      </c>
      <c r="F21" s="3">
        <f>ABS(D21-C21)</f>
        <v>0</v>
      </c>
      <c r="G21" s="3">
        <f>(D21-C21)^2</f>
        <v>0</v>
      </c>
      <c r="H21" s="3">
        <v>1</v>
      </c>
      <c r="I21" s="5">
        <f>I19+$I$20</f>
        <v>1091.4864864864865</v>
      </c>
      <c r="J21" s="2">
        <f>$C$18+$C$17*A5</f>
        <v>1140.5897435897436</v>
      </c>
    </row>
    <row r="22" spans="1:10">
      <c r="A22" s="1"/>
      <c r="B22" s="6" t="s">
        <v>5</v>
      </c>
      <c r="C22" s="3">
        <v>1114</v>
      </c>
      <c r="D22" s="3">
        <f>C21</f>
        <v>892</v>
      </c>
      <c r="E22" s="3">
        <f>D22-C22</f>
        <v>-222</v>
      </c>
      <c r="F22" s="3">
        <f>ABS(D22-C22)</f>
        <v>222</v>
      </c>
      <c r="G22" s="3">
        <f t="shared" ref="G22:G56" si="1">(D22-C22)^2</f>
        <v>49284</v>
      </c>
      <c r="H22" s="3">
        <f>H21+1</f>
        <v>2</v>
      </c>
      <c r="I22" s="5">
        <f>I21+$I$20</f>
        <v>1108.6777348777348</v>
      </c>
      <c r="J22" s="2">
        <f t="shared" ref="J22:J32" si="2">$C$18+$C$17*A6</f>
        <v>1145.5128205128206</v>
      </c>
    </row>
    <row r="23" spans="1:10">
      <c r="A23" s="1"/>
      <c r="B23" s="6" t="s">
        <v>6</v>
      </c>
      <c r="C23" s="3">
        <v>1280</v>
      </c>
      <c r="D23" s="3">
        <f t="shared" ref="D23:D56" si="3">C22</f>
        <v>1114</v>
      </c>
      <c r="E23" s="3">
        <f t="shared" ref="E23:E56" si="4">D23-C23</f>
        <v>-166</v>
      </c>
      <c r="F23" s="3">
        <f t="shared" ref="F23:F56" si="5">ABS(D23-C23)</f>
        <v>166</v>
      </c>
      <c r="G23" s="3">
        <f t="shared" si="1"/>
        <v>27556</v>
      </c>
      <c r="H23" s="3">
        <f t="shared" ref="H23:H56" si="6">H22+1</f>
        <v>3</v>
      </c>
      <c r="I23" s="5">
        <f t="shared" ref="I23:I56" si="7">I22+$I$20</f>
        <v>1125.8689832689831</v>
      </c>
      <c r="J23" s="2">
        <f t="shared" si="2"/>
        <v>1150.4358974358975</v>
      </c>
    </row>
    <row r="24" spans="1:10">
      <c r="A24" s="1"/>
      <c r="B24" s="6" t="s">
        <v>7</v>
      </c>
      <c r="C24" s="3">
        <v>1328</v>
      </c>
      <c r="D24" s="3">
        <f t="shared" si="3"/>
        <v>1280</v>
      </c>
      <c r="E24" s="3">
        <f t="shared" si="4"/>
        <v>-48</v>
      </c>
      <c r="F24" s="3">
        <f t="shared" si="5"/>
        <v>48</v>
      </c>
      <c r="G24" s="3">
        <f t="shared" si="1"/>
        <v>2304</v>
      </c>
      <c r="H24" s="3">
        <f t="shared" si="6"/>
        <v>4</v>
      </c>
      <c r="I24" s="5">
        <f t="shared" si="7"/>
        <v>1143.0602316602315</v>
      </c>
      <c r="J24" s="2">
        <f t="shared" si="2"/>
        <v>1155.3589743589744</v>
      </c>
    </row>
    <row r="25" spans="1:10">
      <c r="A25" s="1"/>
      <c r="B25" s="6" t="s">
        <v>8</v>
      </c>
      <c r="C25" s="3">
        <v>1253</v>
      </c>
      <c r="D25" s="3">
        <f t="shared" si="3"/>
        <v>1328</v>
      </c>
      <c r="E25" s="3">
        <f t="shared" si="4"/>
        <v>75</v>
      </c>
      <c r="F25" s="3">
        <f t="shared" si="5"/>
        <v>75</v>
      </c>
      <c r="G25" s="3">
        <f t="shared" si="1"/>
        <v>5625</v>
      </c>
      <c r="H25" s="3">
        <f t="shared" si="6"/>
        <v>5</v>
      </c>
      <c r="I25" s="5">
        <f t="shared" si="7"/>
        <v>1160.2514800514798</v>
      </c>
      <c r="J25" s="2">
        <f t="shared" si="2"/>
        <v>1160.2820512820515</v>
      </c>
    </row>
    <row r="26" spans="1:10">
      <c r="A26" s="1"/>
      <c r="B26" s="6" t="s">
        <v>9</v>
      </c>
      <c r="C26" s="3">
        <v>1125</v>
      </c>
      <c r="D26" s="3">
        <f t="shared" si="3"/>
        <v>1253</v>
      </c>
      <c r="E26" s="3">
        <f t="shared" si="4"/>
        <v>128</v>
      </c>
      <c r="F26" s="3">
        <f t="shared" si="5"/>
        <v>128</v>
      </c>
      <c r="G26" s="3">
        <f t="shared" si="1"/>
        <v>16384</v>
      </c>
      <c r="H26" s="3">
        <f t="shared" si="6"/>
        <v>6</v>
      </c>
      <c r="I26" s="5">
        <f t="shared" si="7"/>
        <v>1177.4427284427281</v>
      </c>
      <c r="J26" s="2">
        <f t="shared" si="2"/>
        <v>1165.2051282051284</v>
      </c>
    </row>
    <row r="27" spans="1:10">
      <c r="A27" s="1"/>
      <c r="B27" s="6" t="s">
        <v>10</v>
      </c>
      <c r="C27" s="3">
        <v>1197</v>
      </c>
      <c r="D27" s="3">
        <f t="shared" si="3"/>
        <v>1125</v>
      </c>
      <c r="E27" s="3">
        <f t="shared" si="4"/>
        <v>-72</v>
      </c>
      <c r="F27" s="3">
        <f t="shared" si="5"/>
        <v>72</v>
      </c>
      <c r="G27" s="3">
        <f t="shared" si="1"/>
        <v>5184</v>
      </c>
      <c r="H27" s="3">
        <f t="shared" si="6"/>
        <v>7</v>
      </c>
      <c r="I27" s="5">
        <f t="shared" si="7"/>
        <v>1194.6339768339765</v>
      </c>
      <c r="J27" s="2">
        <f t="shared" si="2"/>
        <v>1170.1282051282053</v>
      </c>
    </row>
    <row r="28" spans="1:10">
      <c r="A28" s="1"/>
      <c r="B28" s="6" t="s">
        <v>11</v>
      </c>
      <c r="C28" s="3">
        <v>867</v>
      </c>
      <c r="D28" s="3">
        <f t="shared" si="3"/>
        <v>1197</v>
      </c>
      <c r="E28" s="3">
        <f t="shared" si="4"/>
        <v>330</v>
      </c>
      <c r="F28" s="3">
        <f t="shared" si="5"/>
        <v>330</v>
      </c>
      <c r="G28" s="3">
        <f t="shared" si="1"/>
        <v>108900</v>
      </c>
      <c r="H28" s="3">
        <f t="shared" si="6"/>
        <v>8</v>
      </c>
      <c r="I28" s="5">
        <f t="shared" si="7"/>
        <v>1211.8252252252248</v>
      </c>
      <c r="J28" s="2">
        <f t="shared" si="2"/>
        <v>1175.0512820512822</v>
      </c>
    </row>
    <row r="29" spans="1:10">
      <c r="A29" s="1"/>
      <c r="B29" s="6" t="s">
        <v>12</v>
      </c>
      <c r="C29" s="3">
        <v>1406</v>
      </c>
      <c r="D29" s="3">
        <f t="shared" si="3"/>
        <v>867</v>
      </c>
      <c r="E29" s="3">
        <f t="shared" si="4"/>
        <v>-539</v>
      </c>
      <c r="F29" s="3">
        <f t="shared" si="5"/>
        <v>539</v>
      </c>
      <c r="G29" s="3">
        <f t="shared" si="1"/>
        <v>290521</v>
      </c>
      <c r="H29" s="3">
        <f t="shared" si="6"/>
        <v>9</v>
      </c>
      <c r="I29" s="5">
        <f t="shared" si="7"/>
        <v>1229.0164736164731</v>
      </c>
      <c r="J29" s="2">
        <f t="shared" si="2"/>
        <v>1179.9743589743591</v>
      </c>
    </row>
    <row r="30" spans="1:10">
      <c r="A30" s="1"/>
      <c r="B30" s="6" t="s">
        <v>13</v>
      </c>
      <c r="C30" s="3">
        <v>1503</v>
      </c>
      <c r="D30" s="3">
        <f t="shared" si="3"/>
        <v>1406</v>
      </c>
      <c r="E30" s="3">
        <f t="shared" si="4"/>
        <v>-97</v>
      </c>
      <c r="F30" s="3">
        <f t="shared" si="5"/>
        <v>97</v>
      </c>
      <c r="G30" s="3">
        <f t="shared" si="1"/>
        <v>9409</v>
      </c>
      <c r="H30" s="3">
        <f t="shared" si="6"/>
        <v>10</v>
      </c>
      <c r="I30" s="5">
        <f t="shared" si="7"/>
        <v>1246.2077220077215</v>
      </c>
      <c r="J30" s="2">
        <f t="shared" si="2"/>
        <v>1184.897435897436</v>
      </c>
    </row>
    <row r="31" spans="1:10">
      <c r="A31" s="1"/>
      <c r="B31" s="6" t="s">
        <v>14</v>
      </c>
      <c r="C31" s="3">
        <v>1068</v>
      </c>
      <c r="D31" s="3">
        <f t="shared" si="3"/>
        <v>1503</v>
      </c>
      <c r="E31" s="3">
        <f t="shared" si="4"/>
        <v>435</v>
      </c>
      <c r="F31" s="3">
        <f t="shared" si="5"/>
        <v>435</v>
      </c>
      <c r="G31" s="3">
        <f t="shared" si="1"/>
        <v>189225</v>
      </c>
      <c r="H31" s="3">
        <f t="shared" si="6"/>
        <v>11</v>
      </c>
      <c r="I31" s="5">
        <f t="shared" si="7"/>
        <v>1263.3989703989698</v>
      </c>
      <c r="J31" s="2">
        <f t="shared" si="2"/>
        <v>1189.8205128205129</v>
      </c>
    </row>
    <row r="32" spans="1:10">
      <c r="A32" s="1"/>
      <c r="B32" s="6" t="s">
        <v>15</v>
      </c>
      <c r="C32" s="3">
        <v>979</v>
      </c>
      <c r="D32" s="3">
        <f t="shared" si="3"/>
        <v>1068</v>
      </c>
      <c r="E32" s="3">
        <f t="shared" si="4"/>
        <v>89</v>
      </c>
      <c r="F32" s="3">
        <f t="shared" si="5"/>
        <v>89</v>
      </c>
      <c r="G32" s="3">
        <f t="shared" si="1"/>
        <v>7921</v>
      </c>
      <c r="H32" s="3">
        <f t="shared" si="6"/>
        <v>12</v>
      </c>
      <c r="I32" s="5">
        <f t="shared" si="7"/>
        <v>1280.5902187902182</v>
      </c>
      <c r="J32" s="2">
        <f t="shared" si="2"/>
        <v>1194.7435897435898</v>
      </c>
    </row>
    <row r="33" spans="1:10">
      <c r="A33" s="1" t="s">
        <v>2</v>
      </c>
      <c r="B33" s="6" t="s">
        <v>4</v>
      </c>
      <c r="C33" s="7">
        <v>1031</v>
      </c>
      <c r="D33" s="3">
        <f t="shared" si="3"/>
        <v>979</v>
      </c>
      <c r="E33" s="3">
        <f t="shared" si="4"/>
        <v>-52</v>
      </c>
      <c r="F33" s="3">
        <f t="shared" si="5"/>
        <v>52</v>
      </c>
      <c r="G33" s="3">
        <f t="shared" si="1"/>
        <v>2704</v>
      </c>
      <c r="H33" s="3">
        <f t="shared" si="6"/>
        <v>13</v>
      </c>
      <c r="I33" s="5">
        <f t="shared" si="7"/>
        <v>1297.7814671814665</v>
      </c>
      <c r="J33" s="2">
        <f>$D$18+$D$17*A5</f>
        <v>1387.4871794871794</v>
      </c>
    </row>
    <row r="34" spans="1:10">
      <c r="A34" s="1"/>
      <c r="B34" s="6" t="s">
        <v>5</v>
      </c>
      <c r="C34" s="7">
        <v>1353</v>
      </c>
      <c r="D34" s="3">
        <f t="shared" si="3"/>
        <v>1031</v>
      </c>
      <c r="E34" s="3">
        <f t="shared" si="4"/>
        <v>-322</v>
      </c>
      <c r="F34" s="3">
        <f t="shared" si="5"/>
        <v>322</v>
      </c>
      <c r="G34" s="3">
        <f t="shared" si="1"/>
        <v>103684</v>
      </c>
      <c r="H34" s="3">
        <f t="shared" si="6"/>
        <v>14</v>
      </c>
      <c r="I34" s="5">
        <f t="shared" si="7"/>
        <v>1314.9727155727148</v>
      </c>
      <c r="J34" s="2">
        <f t="shared" ref="J34:J44" si="8">$D$18+$D$17*A6</f>
        <v>1387.5955710955709</v>
      </c>
    </row>
    <row r="35" spans="1:10">
      <c r="A35" s="1"/>
      <c r="B35" s="6" t="s">
        <v>6</v>
      </c>
      <c r="C35" s="7">
        <v>1512</v>
      </c>
      <c r="D35" s="3">
        <f t="shared" si="3"/>
        <v>1353</v>
      </c>
      <c r="E35" s="3">
        <f t="shared" si="4"/>
        <v>-159</v>
      </c>
      <c r="F35" s="3">
        <f t="shared" si="5"/>
        <v>159</v>
      </c>
      <c r="G35" s="3">
        <f t="shared" si="1"/>
        <v>25281</v>
      </c>
      <c r="H35" s="3">
        <f t="shared" si="6"/>
        <v>15</v>
      </c>
      <c r="I35" s="5">
        <f t="shared" si="7"/>
        <v>1332.1639639639632</v>
      </c>
      <c r="J35" s="2">
        <f t="shared" si="8"/>
        <v>1387.7039627039626</v>
      </c>
    </row>
    <row r="36" spans="1:10">
      <c r="A36" s="1"/>
      <c r="B36" s="6" t="s">
        <v>7</v>
      </c>
      <c r="C36" s="7">
        <v>1670</v>
      </c>
      <c r="D36" s="3">
        <f t="shared" si="3"/>
        <v>1512</v>
      </c>
      <c r="E36" s="3">
        <f t="shared" si="4"/>
        <v>-158</v>
      </c>
      <c r="F36" s="3">
        <f t="shared" si="5"/>
        <v>158</v>
      </c>
      <c r="G36" s="3">
        <f t="shared" si="1"/>
        <v>24964</v>
      </c>
      <c r="H36" s="3">
        <f t="shared" si="6"/>
        <v>16</v>
      </c>
      <c r="I36" s="5">
        <f t="shared" si="7"/>
        <v>1349.3552123552115</v>
      </c>
      <c r="J36" s="2">
        <f t="shared" si="8"/>
        <v>1387.8123543123543</v>
      </c>
    </row>
    <row r="37" spans="1:10">
      <c r="A37" s="1"/>
      <c r="B37" s="6" t="s">
        <v>8</v>
      </c>
      <c r="C37" s="7">
        <v>1523</v>
      </c>
      <c r="D37" s="3">
        <f t="shared" si="3"/>
        <v>1670</v>
      </c>
      <c r="E37" s="3">
        <f t="shared" si="4"/>
        <v>147</v>
      </c>
      <c r="F37" s="3">
        <f t="shared" si="5"/>
        <v>147</v>
      </c>
      <c r="G37" s="3">
        <f t="shared" si="1"/>
        <v>21609</v>
      </c>
      <c r="H37" s="3">
        <f t="shared" si="6"/>
        <v>17</v>
      </c>
      <c r="I37" s="5">
        <f t="shared" si="7"/>
        <v>1366.5464607464598</v>
      </c>
      <c r="J37" s="2">
        <f t="shared" si="8"/>
        <v>1387.9207459207457</v>
      </c>
    </row>
    <row r="38" spans="1:10">
      <c r="A38" s="1"/>
      <c r="B38" s="6" t="s">
        <v>9</v>
      </c>
      <c r="C38" s="7">
        <v>1386</v>
      </c>
      <c r="D38" s="3">
        <f t="shared" si="3"/>
        <v>1523</v>
      </c>
      <c r="E38" s="3">
        <f t="shared" si="4"/>
        <v>137</v>
      </c>
      <c r="F38" s="3">
        <f t="shared" si="5"/>
        <v>137</v>
      </c>
      <c r="G38" s="3">
        <f t="shared" si="1"/>
        <v>18769</v>
      </c>
      <c r="H38" s="3">
        <f t="shared" si="6"/>
        <v>18</v>
      </c>
      <c r="I38" s="5">
        <f t="shared" si="7"/>
        <v>1383.7377091377082</v>
      </c>
      <c r="J38" s="2">
        <f t="shared" si="8"/>
        <v>1388.0291375291374</v>
      </c>
    </row>
    <row r="39" spans="1:10">
      <c r="A39" s="1"/>
      <c r="B39" s="6" t="s">
        <v>10</v>
      </c>
      <c r="C39" s="7">
        <v>1351</v>
      </c>
      <c r="D39" s="3">
        <f t="shared" si="3"/>
        <v>1386</v>
      </c>
      <c r="E39" s="3">
        <f t="shared" si="4"/>
        <v>35</v>
      </c>
      <c r="F39" s="3">
        <f t="shared" si="5"/>
        <v>35</v>
      </c>
      <c r="G39" s="3">
        <f t="shared" si="1"/>
        <v>1225</v>
      </c>
      <c r="H39" s="3">
        <f t="shared" si="6"/>
        <v>19</v>
      </c>
      <c r="I39" s="5">
        <f t="shared" si="7"/>
        <v>1400.9289575289565</v>
      </c>
      <c r="J39" s="2">
        <f t="shared" si="8"/>
        <v>1388.1375291375291</v>
      </c>
    </row>
    <row r="40" spans="1:10">
      <c r="A40" s="1"/>
      <c r="B40" s="6" t="s">
        <v>11</v>
      </c>
      <c r="C40" s="7">
        <v>1075</v>
      </c>
      <c r="D40" s="3">
        <f t="shared" si="3"/>
        <v>1351</v>
      </c>
      <c r="E40" s="3">
        <f t="shared" si="4"/>
        <v>276</v>
      </c>
      <c r="F40" s="3">
        <f t="shared" si="5"/>
        <v>276</v>
      </c>
      <c r="G40" s="3">
        <f t="shared" si="1"/>
        <v>76176</v>
      </c>
      <c r="H40" s="3">
        <f t="shared" si="6"/>
        <v>20</v>
      </c>
      <c r="I40" s="5">
        <f t="shared" si="7"/>
        <v>1418.1202059202049</v>
      </c>
      <c r="J40" s="2">
        <f t="shared" si="8"/>
        <v>1388.2459207459206</v>
      </c>
    </row>
    <row r="41" spans="1:10">
      <c r="A41" s="1"/>
      <c r="B41" s="6" t="s">
        <v>12</v>
      </c>
      <c r="C41" s="7">
        <v>1623</v>
      </c>
      <c r="D41" s="3">
        <f t="shared" si="3"/>
        <v>1075</v>
      </c>
      <c r="E41" s="3">
        <f t="shared" si="4"/>
        <v>-548</v>
      </c>
      <c r="F41" s="3">
        <f t="shared" si="5"/>
        <v>548</v>
      </c>
      <c r="G41" s="3">
        <f t="shared" si="1"/>
        <v>300304</v>
      </c>
      <c r="H41" s="3">
        <f t="shared" si="6"/>
        <v>21</v>
      </c>
      <c r="I41" s="5">
        <f t="shared" si="7"/>
        <v>1435.3114543114532</v>
      </c>
      <c r="J41" s="2">
        <f t="shared" si="8"/>
        <v>1388.3543123543122</v>
      </c>
    </row>
    <row r="42" spans="1:10">
      <c r="A42" s="1"/>
      <c r="B42" s="6" t="s">
        <v>13</v>
      </c>
      <c r="C42" s="7">
        <v>1756</v>
      </c>
      <c r="D42" s="3">
        <f t="shared" si="3"/>
        <v>1623</v>
      </c>
      <c r="E42" s="3">
        <f t="shared" si="4"/>
        <v>-133</v>
      </c>
      <c r="F42" s="3">
        <f t="shared" si="5"/>
        <v>133</v>
      </c>
      <c r="G42" s="3">
        <f t="shared" si="1"/>
        <v>17689</v>
      </c>
      <c r="H42" s="3">
        <f t="shared" si="6"/>
        <v>22</v>
      </c>
      <c r="I42" s="5">
        <f t="shared" si="7"/>
        <v>1452.5027027027015</v>
      </c>
      <c r="J42" s="2">
        <f t="shared" si="8"/>
        <v>1388.4627039627037</v>
      </c>
    </row>
    <row r="43" spans="1:10">
      <c r="A43" s="1"/>
      <c r="B43" s="6" t="s">
        <v>14</v>
      </c>
      <c r="C43" s="7">
        <v>1346</v>
      </c>
      <c r="D43" s="3">
        <f t="shared" si="3"/>
        <v>1756</v>
      </c>
      <c r="E43" s="3">
        <f t="shared" si="4"/>
        <v>410</v>
      </c>
      <c r="F43" s="3">
        <f t="shared" si="5"/>
        <v>410</v>
      </c>
      <c r="G43" s="3">
        <f t="shared" si="1"/>
        <v>168100</v>
      </c>
      <c r="H43" s="3">
        <f t="shared" si="6"/>
        <v>23</v>
      </c>
      <c r="I43" s="5">
        <f t="shared" si="7"/>
        <v>1469.6939510939499</v>
      </c>
      <c r="J43" s="2">
        <f t="shared" si="8"/>
        <v>1388.5710955710954</v>
      </c>
    </row>
    <row r="44" spans="1:10">
      <c r="A44" s="1"/>
      <c r="B44" s="6" t="s">
        <v>15</v>
      </c>
      <c r="C44" s="7">
        <v>1031</v>
      </c>
      <c r="D44" s="3">
        <f t="shared" si="3"/>
        <v>1346</v>
      </c>
      <c r="E44" s="3">
        <f t="shared" si="4"/>
        <v>315</v>
      </c>
      <c r="F44" s="3">
        <f t="shared" si="5"/>
        <v>315</v>
      </c>
      <c r="G44" s="3">
        <f t="shared" si="1"/>
        <v>99225</v>
      </c>
      <c r="H44" s="3">
        <f t="shared" si="6"/>
        <v>24</v>
      </c>
      <c r="I44" s="5">
        <f t="shared" si="7"/>
        <v>1486.8851994851982</v>
      </c>
      <c r="J44" s="2">
        <f t="shared" si="8"/>
        <v>1388.6794871794871</v>
      </c>
    </row>
    <row r="45" spans="1:10">
      <c r="A45" s="1" t="s">
        <v>3</v>
      </c>
      <c r="B45" s="6" t="s">
        <v>4</v>
      </c>
      <c r="C45" s="7">
        <v>1154</v>
      </c>
      <c r="D45" s="3">
        <f t="shared" si="3"/>
        <v>1031</v>
      </c>
      <c r="E45" s="3">
        <f t="shared" si="4"/>
        <v>-123</v>
      </c>
      <c r="F45" s="3">
        <f t="shared" si="5"/>
        <v>123</v>
      </c>
      <c r="G45" s="3">
        <f t="shared" si="1"/>
        <v>15129</v>
      </c>
      <c r="H45" s="3">
        <f t="shared" si="6"/>
        <v>25</v>
      </c>
      <c r="I45" s="5">
        <f t="shared" si="7"/>
        <v>1504.0764478764465</v>
      </c>
      <c r="J45" s="2">
        <f>$E$18+$E$17*A5</f>
        <v>1592.3076923076924</v>
      </c>
    </row>
    <row r="46" spans="1:10">
      <c r="A46" s="1"/>
      <c r="B46" s="6" t="s">
        <v>5</v>
      </c>
      <c r="C46" s="7">
        <v>1567</v>
      </c>
      <c r="D46" s="3">
        <f t="shared" si="3"/>
        <v>1154</v>
      </c>
      <c r="E46" s="3">
        <f t="shared" si="4"/>
        <v>-413</v>
      </c>
      <c r="F46" s="3">
        <f t="shared" si="5"/>
        <v>413</v>
      </c>
      <c r="G46" s="3">
        <f t="shared" si="1"/>
        <v>170569</v>
      </c>
      <c r="H46" s="3">
        <f t="shared" si="6"/>
        <v>26</v>
      </c>
      <c r="I46" s="5">
        <f t="shared" si="7"/>
        <v>1521.2676962676949</v>
      </c>
      <c r="J46" s="2">
        <f t="shared" ref="J46:J56" si="9">$E$18+$E$17*A6</f>
        <v>1597.56993006993</v>
      </c>
    </row>
    <row r="47" spans="1:10">
      <c r="A47" s="1"/>
      <c r="B47" s="6" t="s">
        <v>6</v>
      </c>
      <c r="C47" s="7">
        <v>1709</v>
      </c>
      <c r="D47" s="3">
        <f t="shared" si="3"/>
        <v>1567</v>
      </c>
      <c r="E47" s="3">
        <f t="shared" si="4"/>
        <v>-142</v>
      </c>
      <c r="F47" s="3">
        <f t="shared" si="5"/>
        <v>142</v>
      </c>
      <c r="G47" s="3">
        <f t="shared" si="1"/>
        <v>20164</v>
      </c>
      <c r="H47" s="3">
        <f t="shared" si="6"/>
        <v>27</v>
      </c>
      <c r="I47" s="5">
        <f t="shared" si="7"/>
        <v>1538.4589446589432</v>
      </c>
      <c r="J47" s="2">
        <f t="shared" si="9"/>
        <v>1602.8321678321679</v>
      </c>
    </row>
    <row r="48" spans="1:10">
      <c r="A48" s="1"/>
      <c r="B48" s="6" t="s">
        <v>7</v>
      </c>
      <c r="C48" s="7">
        <v>1998</v>
      </c>
      <c r="D48" s="3">
        <f t="shared" si="3"/>
        <v>1709</v>
      </c>
      <c r="E48" s="3">
        <f t="shared" si="4"/>
        <v>-289</v>
      </c>
      <c r="F48" s="3">
        <f t="shared" si="5"/>
        <v>289</v>
      </c>
      <c r="G48" s="3">
        <f t="shared" si="1"/>
        <v>83521</v>
      </c>
      <c r="H48" s="3">
        <f t="shared" si="6"/>
        <v>28</v>
      </c>
      <c r="I48" s="5">
        <f t="shared" si="7"/>
        <v>1555.6501930501915</v>
      </c>
      <c r="J48" s="2">
        <f t="shared" si="9"/>
        <v>1608.0944055944055</v>
      </c>
    </row>
    <row r="49" spans="1:10">
      <c r="A49" s="1"/>
      <c r="B49" s="6" t="s">
        <v>8</v>
      </c>
      <c r="C49" s="7">
        <v>1891</v>
      </c>
      <c r="D49" s="3">
        <f t="shared" si="3"/>
        <v>1998</v>
      </c>
      <c r="E49" s="3">
        <f t="shared" si="4"/>
        <v>107</v>
      </c>
      <c r="F49" s="3">
        <f t="shared" si="5"/>
        <v>107</v>
      </c>
      <c r="G49" s="3">
        <f t="shared" si="1"/>
        <v>11449</v>
      </c>
      <c r="H49" s="3">
        <f t="shared" si="6"/>
        <v>29</v>
      </c>
      <c r="I49" s="5">
        <f t="shared" si="7"/>
        <v>1572.8414414414399</v>
      </c>
      <c r="J49" s="2">
        <f t="shared" si="9"/>
        <v>1613.3566433566434</v>
      </c>
    </row>
    <row r="50" spans="1:10">
      <c r="A50" s="1"/>
      <c r="B50" s="6" t="s">
        <v>9</v>
      </c>
      <c r="C50" s="7">
        <v>1639</v>
      </c>
      <c r="D50" s="3">
        <f t="shared" si="3"/>
        <v>1891</v>
      </c>
      <c r="E50" s="3">
        <f t="shared" si="4"/>
        <v>252</v>
      </c>
      <c r="F50" s="3">
        <f t="shared" si="5"/>
        <v>252</v>
      </c>
      <c r="G50" s="3">
        <f t="shared" si="1"/>
        <v>63504</v>
      </c>
      <c r="H50" s="3">
        <f t="shared" si="6"/>
        <v>30</v>
      </c>
      <c r="I50" s="5">
        <f t="shared" si="7"/>
        <v>1590.0326898326882</v>
      </c>
      <c r="J50" s="2">
        <f t="shared" si="9"/>
        <v>1618.6188811188811</v>
      </c>
    </row>
    <row r="51" spans="1:10">
      <c r="A51" s="1"/>
      <c r="B51" s="6" t="s">
        <v>10</v>
      </c>
      <c r="C51" s="7">
        <v>1504</v>
      </c>
      <c r="D51" s="3">
        <f t="shared" si="3"/>
        <v>1639</v>
      </c>
      <c r="E51" s="3">
        <f t="shared" si="4"/>
        <v>135</v>
      </c>
      <c r="F51" s="3">
        <f t="shared" si="5"/>
        <v>135</v>
      </c>
      <c r="G51" s="3">
        <f t="shared" si="1"/>
        <v>18225</v>
      </c>
      <c r="H51" s="3">
        <f t="shared" si="6"/>
        <v>31</v>
      </c>
      <c r="I51" s="5">
        <f t="shared" si="7"/>
        <v>1607.2239382239366</v>
      </c>
      <c r="J51" s="2">
        <f t="shared" si="9"/>
        <v>1623.8811188811189</v>
      </c>
    </row>
    <row r="52" spans="1:10">
      <c r="A52" s="1"/>
      <c r="B52" s="6" t="s">
        <v>11</v>
      </c>
      <c r="C52" s="7">
        <v>1271</v>
      </c>
      <c r="D52" s="3">
        <f t="shared" si="3"/>
        <v>1504</v>
      </c>
      <c r="E52" s="3">
        <f t="shared" si="4"/>
        <v>233</v>
      </c>
      <c r="F52" s="3">
        <f t="shared" si="5"/>
        <v>233</v>
      </c>
      <c r="G52" s="3">
        <f t="shared" si="1"/>
        <v>54289</v>
      </c>
      <c r="H52" s="3">
        <f t="shared" si="6"/>
        <v>32</v>
      </c>
      <c r="I52" s="5">
        <f t="shared" si="7"/>
        <v>1624.4151866151849</v>
      </c>
      <c r="J52" s="2">
        <f t="shared" si="9"/>
        <v>1629.1433566433566</v>
      </c>
    </row>
    <row r="53" spans="1:10">
      <c r="A53" s="1"/>
      <c r="B53" s="6" t="s">
        <v>12</v>
      </c>
      <c r="C53" s="7">
        <v>1786</v>
      </c>
      <c r="D53" s="3">
        <f t="shared" si="3"/>
        <v>1271</v>
      </c>
      <c r="E53" s="3">
        <f t="shared" si="4"/>
        <v>-515</v>
      </c>
      <c r="F53" s="3">
        <f t="shared" si="5"/>
        <v>515</v>
      </c>
      <c r="G53" s="3">
        <f t="shared" si="1"/>
        <v>265225</v>
      </c>
      <c r="H53" s="3">
        <f t="shared" si="6"/>
        <v>33</v>
      </c>
      <c r="I53" s="5">
        <f t="shared" si="7"/>
        <v>1641.6064350064332</v>
      </c>
      <c r="J53" s="2">
        <f t="shared" si="9"/>
        <v>1634.4055944055945</v>
      </c>
    </row>
    <row r="54" spans="1:10">
      <c r="A54" s="1"/>
      <c r="B54" s="6" t="s">
        <v>13</v>
      </c>
      <c r="C54" s="7">
        <v>1941</v>
      </c>
      <c r="D54" s="3">
        <f t="shared" si="3"/>
        <v>1786</v>
      </c>
      <c r="E54" s="3">
        <f t="shared" si="4"/>
        <v>-155</v>
      </c>
      <c r="F54" s="3">
        <f t="shared" si="5"/>
        <v>155</v>
      </c>
      <c r="G54" s="3">
        <f t="shared" si="1"/>
        <v>24025</v>
      </c>
      <c r="H54" s="3">
        <f t="shared" si="6"/>
        <v>34</v>
      </c>
      <c r="I54" s="5">
        <f t="shared" si="7"/>
        <v>1658.7976833976816</v>
      </c>
      <c r="J54" s="2">
        <f t="shared" si="9"/>
        <v>1639.6678321678321</v>
      </c>
    </row>
    <row r="55" spans="1:10">
      <c r="A55" s="1"/>
      <c r="B55" s="6" t="s">
        <v>14</v>
      </c>
      <c r="C55" s="7">
        <v>1606</v>
      </c>
      <c r="D55" s="3">
        <f t="shared" si="3"/>
        <v>1941</v>
      </c>
      <c r="E55" s="3">
        <f t="shared" si="4"/>
        <v>335</v>
      </c>
      <c r="F55" s="3">
        <f t="shared" si="5"/>
        <v>335</v>
      </c>
      <c r="G55" s="3">
        <f t="shared" si="1"/>
        <v>112225</v>
      </c>
      <c r="H55" s="3">
        <f t="shared" si="6"/>
        <v>35</v>
      </c>
      <c r="I55" s="5">
        <f t="shared" si="7"/>
        <v>1675.9889317889299</v>
      </c>
      <c r="J55" s="2">
        <f t="shared" si="9"/>
        <v>1644.93006993007</v>
      </c>
    </row>
    <row r="56" spans="1:10">
      <c r="A56" s="1"/>
      <c r="B56" s="6" t="s">
        <v>15</v>
      </c>
      <c r="C56" s="7">
        <v>1389</v>
      </c>
      <c r="D56" s="3">
        <f t="shared" si="3"/>
        <v>1606</v>
      </c>
      <c r="E56" s="3">
        <f t="shared" si="4"/>
        <v>217</v>
      </c>
      <c r="F56" s="3">
        <f t="shared" si="5"/>
        <v>217</v>
      </c>
      <c r="G56" s="3">
        <f t="shared" si="1"/>
        <v>47089</v>
      </c>
      <c r="H56" s="3">
        <f t="shared" si="6"/>
        <v>36</v>
      </c>
      <c r="I56" s="5">
        <f t="shared" si="7"/>
        <v>1693.1801801801782</v>
      </c>
      <c r="J56" s="2">
        <f t="shared" si="9"/>
        <v>1650.1923076923076</v>
      </c>
    </row>
    <row r="57" spans="1:10">
      <c r="E57" s="9" t="s">
        <v>51</v>
      </c>
      <c r="F57" s="9" t="s">
        <v>52</v>
      </c>
      <c r="G57" s="9" t="s">
        <v>55</v>
      </c>
    </row>
    <row r="58" spans="1:10">
      <c r="E58" s="14">
        <f>SUM(E33:E56)/24</f>
        <v>-17.083333333333332</v>
      </c>
      <c r="F58" s="14">
        <f>SUM(F33:F56)/24</f>
        <v>233.66666666666666</v>
      </c>
      <c r="G58" s="14">
        <f>SQRT(SUM(G33:G56)/24)</f>
        <v>269.65595363969499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5"/>
  <sheetViews>
    <sheetView topLeftCell="A12" workbookViewId="0">
      <selection activeCell="E40" sqref="E40"/>
    </sheetView>
  </sheetViews>
  <sheetFormatPr baseColWidth="10" defaultRowHeight="12.75"/>
  <cols>
    <col min="1" max="1" width="11.5703125" style="1" customWidth="1"/>
    <col min="3" max="3" width="11.5703125" style="3" customWidth="1"/>
    <col min="4" max="4" width="2.85546875" style="11" customWidth="1"/>
    <col min="5" max="5" width="8.7109375" style="5" customWidth="1"/>
    <col min="6" max="7" width="8.7109375" customWidth="1"/>
    <col min="8" max="8" width="8.7109375" style="3" customWidth="1"/>
    <col min="9" max="9" width="2.28515625" customWidth="1"/>
    <col min="10" max="12" width="8.7109375" customWidth="1"/>
    <col min="13" max="13" width="8.7109375" style="3" customWidth="1"/>
  </cols>
  <sheetData>
    <row r="1" spans="1:13" ht="15.75">
      <c r="A1" s="62" t="s">
        <v>16</v>
      </c>
      <c r="B1" s="63"/>
      <c r="E1" s="17"/>
      <c r="F1" s="17" t="s">
        <v>38</v>
      </c>
      <c r="G1" s="1"/>
      <c r="H1" s="4"/>
    </row>
    <row r="4" spans="1:13">
      <c r="A4" s="1" t="s">
        <v>1</v>
      </c>
      <c r="B4" t="s">
        <v>4</v>
      </c>
      <c r="C4" s="3">
        <v>892</v>
      </c>
    </row>
    <row r="5" spans="1:13">
      <c r="B5" t="s">
        <v>5</v>
      </c>
      <c r="C5" s="3">
        <v>1114</v>
      </c>
    </row>
    <row r="6" spans="1:13">
      <c r="B6" t="s">
        <v>6</v>
      </c>
      <c r="C6" s="3">
        <v>1280</v>
      </c>
    </row>
    <row r="7" spans="1:13">
      <c r="B7" t="s">
        <v>7</v>
      </c>
      <c r="C7" s="3">
        <v>1328</v>
      </c>
    </row>
    <row r="8" spans="1:13">
      <c r="B8" t="s">
        <v>8</v>
      </c>
      <c r="C8" s="3">
        <v>1253</v>
      </c>
    </row>
    <row r="9" spans="1:13">
      <c r="B9" t="s">
        <v>9</v>
      </c>
      <c r="C9" s="3">
        <v>1125</v>
      </c>
    </row>
    <row r="10" spans="1:13">
      <c r="B10" t="s">
        <v>10</v>
      </c>
      <c r="C10" s="3">
        <v>1197</v>
      </c>
    </row>
    <row r="11" spans="1:13">
      <c r="B11" t="s">
        <v>11</v>
      </c>
      <c r="C11" s="3">
        <v>867</v>
      </c>
    </row>
    <row r="12" spans="1:13">
      <c r="B12" t="s">
        <v>12</v>
      </c>
      <c r="C12" s="3">
        <v>1406</v>
      </c>
    </row>
    <row r="13" spans="1:13">
      <c r="B13" t="s">
        <v>13</v>
      </c>
      <c r="C13" s="3">
        <v>1503</v>
      </c>
    </row>
    <row r="14" spans="1:13">
      <c r="B14" t="s">
        <v>14</v>
      </c>
      <c r="C14" s="3">
        <v>1068</v>
      </c>
    </row>
    <row r="15" spans="1:13">
      <c r="B15" t="s">
        <v>15</v>
      </c>
      <c r="C15" s="3">
        <v>979</v>
      </c>
      <c r="E15" s="8" t="s">
        <v>20</v>
      </c>
      <c r="F15" s="9" t="s">
        <v>51</v>
      </c>
      <c r="G15" s="9" t="s">
        <v>52</v>
      </c>
      <c r="H15" s="9" t="s">
        <v>55</v>
      </c>
      <c r="I15" s="9"/>
      <c r="J15" s="9" t="s">
        <v>23</v>
      </c>
      <c r="K15" s="9" t="s">
        <v>51</v>
      </c>
      <c r="L15" s="9" t="s">
        <v>52</v>
      </c>
      <c r="M15" s="9" t="s">
        <v>55</v>
      </c>
    </row>
    <row r="16" spans="1:13">
      <c r="A16" s="1" t="s">
        <v>2</v>
      </c>
      <c r="B16" s="6" t="s">
        <v>4</v>
      </c>
      <c r="C16" s="7">
        <v>1031</v>
      </c>
      <c r="D16" s="10"/>
      <c r="E16" s="5">
        <f>(C13+C14+C15)/3</f>
        <v>1183.3333333333333</v>
      </c>
      <c r="F16" s="5">
        <f>E16-C16</f>
        <v>152.33333333333326</v>
      </c>
      <c r="G16" s="5">
        <f>ABS(E16-C16)</f>
        <v>152.33333333333326</v>
      </c>
      <c r="H16" s="5">
        <f>(E16-C16)^2</f>
        <v>23205.44444444442</v>
      </c>
      <c r="I16" s="5"/>
      <c r="J16" s="5">
        <f>(C10+C11+C12+C13+C14+C15)/6</f>
        <v>1170</v>
      </c>
      <c r="K16" s="5">
        <f>J16-C16</f>
        <v>139</v>
      </c>
      <c r="L16" s="5">
        <f>ABS(J16-C16)</f>
        <v>139</v>
      </c>
      <c r="M16" s="5">
        <f>(J16-C16)^2</f>
        <v>19321</v>
      </c>
    </row>
    <row r="17" spans="1:13">
      <c r="B17" s="6" t="s">
        <v>5</v>
      </c>
      <c r="C17" s="7">
        <v>1353</v>
      </c>
      <c r="D17" s="10"/>
      <c r="E17" s="5">
        <f t="shared" ref="E17:E39" si="0">(C14+C15+C16)/3</f>
        <v>1026</v>
      </c>
      <c r="F17" s="5">
        <f t="shared" ref="F17:F39" si="1">E17-C17</f>
        <v>-327</v>
      </c>
      <c r="G17" s="5">
        <f t="shared" ref="G17:G39" si="2">ABS(E17-C17)</f>
        <v>327</v>
      </c>
      <c r="H17" s="5">
        <f t="shared" ref="H17:H39" si="3">(E17-C17)^2</f>
        <v>106929</v>
      </c>
      <c r="I17" s="5"/>
      <c r="J17" s="5">
        <f t="shared" ref="J17:J39" si="4">(C11+C12+C13+C14+C15+C16)/6</f>
        <v>1142.3333333333333</v>
      </c>
      <c r="K17" s="5">
        <f t="shared" ref="K17:K39" si="5">J17-C17</f>
        <v>-210.66666666666674</v>
      </c>
      <c r="L17" s="5">
        <f t="shared" ref="L17:L39" si="6">ABS(J17-C17)</f>
        <v>210.66666666666674</v>
      </c>
      <c r="M17" s="5">
        <f t="shared" ref="M17:M39" si="7">(J17-C17)^2</f>
        <v>44380.444444444474</v>
      </c>
    </row>
    <row r="18" spans="1:13">
      <c r="B18" s="6" t="s">
        <v>6</v>
      </c>
      <c r="C18" s="7">
        <v>1512</v>
      </c>
      <c r="D18" s="10"/>
      <c r="E18" s="5">
        <f t="shared" si="0"/>
        <v>1121</v>
      </c>
      <c r="F18" s="5">
        <f t="shared" si="1"/>
        <v>-391</v>
      </c>
      <c r="G18" s="5">
        <f t="shared" si="2"/>
        <v>391</v>
      </c>
      <c r="H18" s="5">
        <f t="shared" si="3"/>
        <v>152881</v>
      </c>
      <c r="I18" s="5"/>
      <c r="J18" s="5">
        <f t="shared" si="4"/>
        <v>1223.3333333333333</v>
      </c>
      <c r="K18" s="5">
        <f t="shared" si="5"/>
        <v>-288.66666666666674</v>
      </c>
      <c r="L18" s="5">
        <f t="shared" si="6"/>
        <v>288.66666666666674</v>
      </c>
      <c r="M18" s="5">
        <f t="shared" si="7"/>
        <v>83328.444444444482</v>
      </c>
    </row>
    <row r="19" spans="1:13">
      <c r="B19" s="6" t="s">
        <v>7</v>
      </c>
      <c r="C19" s="7">
        <v>1670</v>
      </c>
      <c r="D19" s="10"/>
      <c r="E19" s="5">
        <f t="shared" si="0"/>
        <v>1298.6666666666667</v>
      </c>
      <c r="F19" s="5">
        <f t="shared" si="1"/>
        <v>-371.33333333333326</v>
      </c>
      <c r="G19" s="5">
        <f t="shared" si="2"/>
        <v>371.33333333333326</v>
      </c>
      <c r="H19" s="5">
        <f t="shared" si="3"/>
        <v>137888.44444444438</v>
      </c>
      <c r="I19" s="5"/>
      <c r="J19" s="5">
        <f t="shared" si="4"/>
        <v>1241</v>
      </c>
      <c r="K19" s="5">
        <f t="shared" si="5"/>
        <v>-429</v>
      </c>
      <c r="L19" s="5">
        <f t="shared" si="6"/>
        <v>429</v>
      </c>
      <c r="M19" s="5">
        <f t="shared" si="7"/>
        <v>184041</v>
      </c>
    </row>
    <row r="20" spans="1:13">
      <c r="B20" s="6" t="s">
        <v>8</v>
      </c>
      <c r="C20" s="7">
        <v>1523</v>
      </c>
      <c r="D20" s="10"/>
      <c r="E20" s="5">
        <f t="shared" si="0"/>
        <v>1511.6666666666667</v>
      </c>
      <c r="F20" s="5">
        <f t="shared" si="1"/>
        <v>-11.333333333333258</v>
      </c>
      <c r="G20" s="5">
        <f t="shared" si="2"/>
        <v>11.333333333333258</v>
      </c>
      <c r="H20" s="5">
        <f t="shared" si="3"/>
        <v>128.44444444444272</v>
      </c>
      <c r="I20" s="5"/>
      <c r="J20" s="5">
        <f t="shared" si="4"/>
        <v>1268.8333333333333</v>
      </c>
      <c r="K20" s="5">
        <f t="shared" si="5"/>
        <v>-254.16666666666674</v>
      </c>
      <c r="L20" s="5">
        <f t="shared" si="6"/>
        <v>254.16666666666674</v>
      </c>
      <c r="M20" s="5">
        <f t="shared" si="7"/>
        <v>64600.694444444482</v>
      </c>
    </row>
    <row r="21" spans="1:13">
      <c r="B21" s="6" t="s">
        <v>9</v>
      </c>
      <c r="C21" s="7">
        <v>1386</v>
      </c>
      <c r="D21" s="10"/>
      <c r="E21" s="5">
        <f t="shared" si="0"/>
        <v>1568.3333333333333</v>
      </c>
      <c r="F21" s="5">
        <f t="shared" si="1"/>
        <v>182.33333333333326</v>
      </c>
      <c r="G21" s="5">
        <f t="shared" si="2"/>
        <v>182.33333333333326</v>
      </c>
      <c r="H21" s="5">
        <f t="shared" si="3"/>
        <v>33245.444444444416</v>
      </c>
      <c r="I21" s="5"/>
      <c r="J21" s="5">
        <f t="shared" si="4"/>
        <v>1344.6666666666667</v>
      </c>
      <c r="K21" s="5">
        <f t="shared" si="5"/>
        <v>-41.333333333333258</v>
      </c>
      <c r="L21" s="5">
        <f t="shared" si="6"/>
        <v>41.333333333333258</v>
      </c>
      <c r="M21" s="5">
        <f t="shared" si="7"/>
        <v>1708.4444444444382</v>
      </c>
    </row>
    <row r="22" spans="1:13">
      <c r="B22" s="6" t="s">
        <v>10</v>
      </c>
      <c r="C22" s="7">
        <v>1351</v>
      </c>
      <c r="D22" s="10"/>
      <c r="E22" s="5">
        <f t="shared" si="0"/>
        <v>1526.3333333333333</v>
      </c>
      <c r="F22" s="5">
        <f t="shared" si="1"/>
        <v>175.33333333333326</v>
      </c>
      <c r="G22" s="5">
        <f t="shared" si="2"/>
        <v>175.33333333333326</v>
      </c>
      <c r="H22" s="5">
        <f t="shared" si="3"/>
        <v>30741.777777777752</v>
      </c>
      <c r="I22" s="5"/>
      <c r="J22" s="5">
        <f t="shared" si="4"/>
        <v>1412.5</v>
      </c>
      <c r="K22" s="5">
        <f t="shared" si="5"/>
        <v>61.5</v>
      </c>
      <c r="L22" s="5">
        <f t="shared" si="6"/>
        <v>61.5</v>
      </c>
      <c r="M22" s="5">
        <f t="shared" si="7"/>
        <v>3782.25</v>
      </c>
    </row>
    <row r="23" spans="1:13">
      <c r="B23" s="6" t="s">
        <v>11</v>
      </c>
      <c r="C23" s="7">
        <v>1075</v>
      </c>
      <c r="D23" s="10"/>
      <c r="E23" s="5">
        <f t="shared" si="0"/>
        <v>1420</v>
      </c>
      <c r="F23" s="5">
        <f t="shared" si="1"/>
        <v>345</v>
      </c>
      <c r="G23" s="5">
        <f t="shared" si="2"/>
        <v>345</v>
      </c>
      <c r="H23" s="5">
        <f t="shared" si="3"/>
        <v>119025</v>
      </c>
      <c r="I23" s="5"/>
      <c r="J23" s="5">
        <f t="shared" si="4"/>
        <v>1465.8333333333333</v>
      </c>
      <c r="K23" s="5">
        <f t="shared" si="5"/>
        <v>390.83333333333326</v>
      </c>
      <c r="L23" s="5">
        <f t="shared" si="6"/>
        <v>390.83333333333326</v>
      </c>
      <c r="M23" s="5">
        <f t="shared" si="7"/>
        <v>152750.69444444438</v>
      </c>
    </row>
    <row r="24" spans="1:13">
      <c r="B24" s="6" t="s">
        <v>12</v>
      </c>
      <c r="C24" s="7">
        <v>1623</v>
      </c>
      <c r="D24" s="10"/>
      <c r="E24" s="5">
        <f t="shared" si="0"/>
        <v>1270.6666666666667</v>
      </c>
      <c r="F24" s="5">
        <f t="shared" si="1"/>
        <v>-352.33333333333326</v>
      </c>
      <c r="G24" s="5">
        <f t="shared" si="2"/>
        <v>352.33333333333326</v>
      </c>
      <c r="H24" s="5">
        <f t="shared" si="3"/>
        <v>124138.77777777772</v>
      </c>
      <c r="I24" s="5"/>
      <c r="J24" s="5">
        <f t="shared" si="4"/>
        <v>1419.5</v>
      </c>
      <c r="K24" s="5">
        <f t="shared" si="5"/>
        <v>-203.5</v>
      </c>
      <c r="L24" s="5">
        <f t="shared" si="6"/>
        <v>203.5</v>
      </c>
      <c r="M24" s="5">
        <f t="shared" si="7"/>
        <v>41412.25</v>
      </c>
    </row>
    <row r="25" spans="1:13">
      <c r="B25" s="6" t="s">
        <v>13</v>
      </c>
      <c r="C25" s="7">
        <v>1756</v>
      </c>
      <c r="D25" s="10"/>
      <c r="E25" s="5">
        <f t="shared" si="0"/>
        <v>1349.6666666666667</v>
      </c>
      <c r="F25" s="5">
        <f t="shared" si="1"/>
        <v>-406.33333333333326</v>
      </c>
      <c r="G25" s="5">
        <f t="shared" si="2"/>
        <v>406.33333333333326</v>
      </c>
      <c r="H25" s="5">
        <f t="shared" si="3"/>
        <v>165106.77777777772</v>
      </c>
      <c r="I25" s="5"/>
      <c r="J25" s="5">
        <f t="shared" si="4"/>
        <v>1438</v>
      </c>
      <c r="K25" s="5">
        <f t="shared" si="5"/>
        <v>-318</v>
      </c>
      <c r="L25" s="5">
        <f t="shared" si="6"/>
        <v>318</v>
      </c>
      <c r="M25" s="5">
        <f t="shared" si="7"/>
        <v>101124</v>
      </c>
    </row>
    <row r="26" spans="1:13">
      <c r="B26" s="6" t="s">
        <v>14</v>
      </c>
      <c r="C26" s="7">
        <v>1346</v>
      </c>
      <c r="D26" s="10"/>
      <c r="E26" s="5">
        <f t="shared" si="0"/>
        <v>1484.6666666666667</v>
      </c>
      <c r="F26" s="5">
        <f t="shared" si="1"/>
        <v>138.66666666666674</v>
      </c>
      <c r="G26" s="5">
        <f t="shared" si="2"/>
        <v>138.66666666666674</v>
      </c>
      <c r="H26" s="5">
        <f t="shared" si="3"/>
        <v>19228.444444444467</v>
      </c>
      <c r="I26" s="5"/>
      <c r="J26" s="5">
        <f t="shared" si="4"/>
        <v>1452.3333333333333</v>
      </c>
      <c r="K26" s="5">
        <f t="shared" si="5"/>
        <v>106.33333333333326</v>
      </c>
      <c r="L26" s="5">
        <f t="shared" si="6"/>
        <v>106.33333333333326</v>
      </c>
      <c r="M26" s="5">
        <f t="shared" si="7"/>
        <v>11306.777777777761</v>
      </c>
    </row>
    <row r="27" spans="1:13">
      <c r="B27" s="6" t="s">
        <v>15</v>
      </c>
      <c r="C27" s="7">
        <v>1031</v>
      </c>
      <c r="D27" s="10"/>
      <c r="E27" s="5">
        <f t="shared" si="0"/>
        <v>1575</v>
      </c>
      <c r="F27" s="5">
        <f t="shared" si="1"/>
        <v>544</v>
      </c>
      <c r="G27" s="5">
        <f t="shared" si="2"/>
        <v>544</v>
      </c>
      <c r="H27" s="5">
        <f t="shared" si="3"/>
        <v>295936</v>
      </c>
      <c r="I27" s="5"/>
      <c r="J27" s="5">
        <f t="shared" si="4"/>
        <v>1422.8333333333333</v>
      </c>
      <c r="K27" s="5">
        <f t="shared" si="5"/>
        <v>391.83333333333326</v>
      </c>
      <c r="L27" s="5">
        <f t="shared" si="6"/>
        <v>391.83333333333326</v>
      </c>
      <c r="M27" s="5">
        <f t="shared" si="7"/>
        <v>153533.36111111107</v>
      </c>
    </row>
    <row r="28" spans="1:13">
      <c r="A28" s="1" t="s">
        <v>3</v>
      </c>
      <c r="B28" s="6" t="s">
        <v>4</v>
      </c>
      <c r="C28" s="7">
        <v>1154</v>
      </c>
      <c r="D28" s="10"/>
      <c r="E28" s="5">
        <f t="shared" si="0"/>
        <v>1377.6666666666667</v>
      </c>
      <c r="F28" s="5">
        <f t="shared" si="1"/>
        <v>223.66666666666674</v>
      </c>
      <c r="G28" s="5">
        <f t="shared" si="2"/>
        <v>223.66666666666674</v>
      </c>
      <c r="H28" s="5">
        <f t="shared" si="3"/>
        <v>50026.77777777781</v>
      </c>
      <c r="I28" s="5"/>
      <c r="J28" s="5">
        <f t="shared" si="4"/>
        <v>1363.6666666666667</v>
      </c>
      <c r="K28" s="5">
        <f t="shared" si="5"/>
        <v>209.66666666666674</v>
      </c>
      <c r="L28" s="5">
        <f t="shared" si="6"/>
        <v>209.66666666666674</v>
      </c>
      <c r="M28" s="5">
        <f t="shared" si="7"/>
        <v>43960.111111111146</v>
      </c>
    </row>
    <row r="29" spans="1:13">
      <c r="B29" s="6" t="s">
        <v>5</v>
      </c>
      <c r="C29" s="7">
        <v>1567</v>
      </c>
      <c r="D29" s="10"/>
      <c r="E29" s="5">
        <f t="shared" si="0"/>
        <v>1177</v>
      </c>
      <c r="F29" s="5">
        <f t="shared" si="1"/>
        <v>-390</v>
      </c>
      <c r="G29" s="5">
        <f t="shared" si="2"/>
        <v>390</v>
      </c>
      <c r="H29" s="5">
        <f t="shared" si="3"/>
        <v>152100</v>
      </c>
      <c r="I29" s="5"/>
      <c r="J29" s="5">
        <f t="shared" si="4"/>
        <v>1330.8333333333333</v>
      </c>
      <c r="K29" s="5">
        <f t="shared" si="5"/>
        <v>-236.16666666666674</v>
      </c>
      <c r="L29" s="5">
        <f t="shared" si="6"/>
        <v>236.16666666666674</v>
      </c>
      <c r="M29" s="5">
        <f t="shared" si="7"/>
        <v>55774.694444444482</v>
      </c>
    </row>
    <row r="30" spans="1:13">
      <c r="B30" s="6" t="s">
        <v>6</v>
      </c>
      <c r="C30" s="7">
        <v>1709</v>
      </c>
      <c r="D30" s="10"/>
      <c r="E30" s="5">
        <f t="shared" si="0"/>
        <v>1250.6666666666667</v>
      </c>
      <c r="F30" s="5">
        <f t="shared" si="1"/>
        <v>-458.33333333333326</v>
      </c>
      <c r="G30" s="5">
        <f t="shared" si="2"/>
        <v>458.33333333333326</v>
      </c>
      <c r="H30" s="5">
        <f t="shared" si="3"/>
        <v>210069.44444444438</v>
      </c>
      <c r="I30" s="5"/>
      <c r="J30" s="5">
        <f t="shared" si="4"/>
        <v>1412.8333333333333</v>
      </c>
      <c r="K30" s="5">
        <f t="shared" si="5"/>
        <v>-296.16666666666674</v>
      </c>
      <c r="L30" s="5">
        <f t="shared" si="6"/>
        <v>296.16666666666674</v>
      </c>
      <c r="M30" s="5">
        <f t="shared" si="7"/>
        <v>87714.694444444496</v>
      </c>
    </row>
    <row r="31" spans="1:13">
      <c r="B31" s="6" t="s">
        <v>7</v>
      </c>
      <c r="C31" s="7">
        <v>1998</v>
      </c>
      <c r="D31" s="10"/>
      <c r="E31" s="5">
        <f t="shared" si="0"/>
        <v>1476.6666666666667</v>
      </c>
      <c r="F31" s="5">
        <f t="shared" si="1"/>
        <v>-521.33333333333326</v>
      </c>
      <c r="G31" s="5">
        <f t="shared" si="2"/>
        <v>521.33333333333326</v>
      </c>
      <c r="H31" s="5">
        <f t="shared" si="3"/>
        <v>271788.44444444438</v>
      </c>
      <c r="I31" s="5"/>
      <c r="J31" s="5">
        <f t="shared" si="4"/>
        <v>1427.1666666666667</v>
      </c>
      <c r="K31" s="5">
        <f t="shared" si="5"/>
        <v>-570.83333333333326</v>
      </c>
      <c r="L31" s="5">
        <f t="shared" si="6"/>
        <v>570.83333333333326</v>
      </c>
      <c r="M31" s="5">
        <f t="shared" si="7"/>
        <v>325850.69444444438</v>
      </c>
    </row>
    <row r="32" spans="1:13">
      <c r="B32" s="6" t="s">
        <v>8</v>
      </c>
      <c r="C32" s="7">
        <v>1891</v>
      </c>
      <c r="D32" s="10"/>
      <c r="E32" s="5">
        <f t="shared" si="0"/>
        <v>1758</v>
      </c>
      <c r="F32" s="5">
        <f t="shared" si="1"/>
        <v>-133</v>
      </c>
      <c r="G32" s="5">
        <f t="shared" si="2"/>
        <v>133</v>
      </c>
      <c r="H32" s="5">
        <f t="shared" si="3"/>
        <v>17689</v>
      </c>
      <c r="I32" s="5"/>
      <c r="J32" s="5">
        <f t="shared" si="4"/>
        <v>1467.5</v>
      </c>
      <c r="K32" s="5">
        <f t="shared" si="5"/>
        <v>-423.5</v>
      </c>
      <c r="L32" s="5">
        <f t="shared" si="6"/>
        <v>423.5</v>
      </c>
      <c r="M32" s="5">
        <f t="shared" si="7"/>
        <v>179352.25</v>
      </c>
    </row>
    <row r="33" spans="1:13">
      <c r="B33" s="6" t="s">
        <v>9</v>
      </c>
      <c r="C33" s="7">
        <v>1639</v>
      </c>
      <c r="D33" s="10"/>
      <c r="E33" s="5">
        <f t="shared" si="0"/>
        <v>1866</v>
      </c>
      <c r="F33" s="5">
        <f t="shared" si="1"/>
        <v>227</v>
      </c>
      <c r="G33" s="5">
        <f t="shared" si="2"/>
        <v>227</v>
      </c>
      <c r="H33" s="5">
        <f t="shared" si="3"/>
        <v>51529</v>
      </c>
      <c r="I33" s="5"/>
      <c r="J33" s="5">
        <f t="shared" si="4"/>
        <v>1558.3333333333333</v>
      </c>
      <c r="K33" s="5">
        <f t="shared" si="5"/>
        <v>-80.666666666666742</v>
      </c>
      <c r="L33" s="5">
        <f t="shared" si="6"/>
        <v>80.666666666666742</v>
      </c>
      <c r="M33" s="5">
        <f t="shared" si="7"/>
        <v>6507.1111111111231</v>
      </c>
    </row>
    <row r="34" spans="1:13">
      <c r="B34" s="6" t="s">
        <v>10</v>
      </c>
      <c r="C34" s="7">
        <v>1504</v>
      </c>
      <c r="D34" s="10"/>
      <c r="E34" s="5">
        <f t="shared" si="0"/>
        <v>1842.6666666666667</v>
      </c>
      <c r="F34" s="5">
        <f t="shared" si="1"/>
        <v>338.66666666666674</v>
      </c>
      <c r="G34" s="5">
        <f t="shared" si="2"/>
        <v>338.66666666666674</v>
      </c>
      <c r="H34" s="5">
        <f t="shared" si="3"/>
        <v>114695.11111111117</v>
      </c>
      <c r="I34" s="5"/>
      <c r="J34" s="5">
        <f t="shared" si="4"/>
        <v>1659.6666666666667</v>
      </c>
      <c r="K34" s="5">
        <f t="shared" si="5"/>
        <v>155.66666666666674</v>
      </c>
      <c r="L34" s="5">
        <f t="shared" si="6"/>
        <v>155.66666666666674</v>
      </c>
      <c r="M34" s="5">
        <f t="shared" si="7"/>
        <v>24232.111111111135</v>
      </c>
    </row>
    <row r="35" spans="1:13">
      <c r="B35" s="6" t="s">
        <v>11</v>
      </c>
      <c r="C35" s="7">
        <v>1271</v>
      </c>
      <c r="D35" s="10"/>
      <c r="E35" s="5">
        <f t="shared" si="0"/>
        <v>1678</v>
      </c>
      <c r="F35" s="5">
        <f t="shared" si="1"/>
        <v>407</v>
      </c>
      <c r="G35" s="5">
        <f t="shared" si="2"/>
        <v>407</v>
      </c>
      <c r="H35" s="5">
        <f t="shared" si="3"/>
        <v>165649</v>
      </c>
      <c r="I35" s="5"/>
      <c r="J35" s="5">
        <f t="shared" si="4"/>
        <v>1718</v>
      </c>
      <c r="K35" s="5">
        <f t="shared" si="5"/>
        <v>447</v>
      </c>
      <c r="L35" s="5">
        <f t="shared" si="6"/>
        <v>447</v>
      </c>
      <c r="M35" s="5">
        <f t="shared" si="7"/>
        <v>199809</v>
      </c>
    </row>
    <row r="36" spans="1:13">
      <c r="B36" s="6" t="s">
        <v>12</v>
      </c>
      <c r="C36" s="7">
        <v>1786</v>
      </c>
      <c r="D36" s="10"/>
      <c r="E36" s="5">
        <f t="shared" si="0"/>
        <v>1471.3333333333333</v>
      </c>
      <c r="F36" s="5">
        <f t="shared" si="1"/>
        <v>-314.66666666666674</v>
      </c>
      <c r="G36" s="5">
        <f t="shared" si="2"/>
        <v>314.66666666666674</v>
      </c>
      <c r="H36" s="5">
        <f t="shared" si="3"/>
        <v>99015.111111111153</v>
      </c>
      <c r="I36" s="5"/>
      <c r="J36" s="5">
        <f t="shared" si="4"/>
        <v>1668.6666666666667</v>
      </c>
      <c r="K36" s="5">
        <f t="shared" si="5"/>
        <v>-117.33333333333326</v>
      </c>
      <c r="L36" s="5">
        <f t="shared" si="6"/>
        <v>117.33333333333326</v>
      </c>
      <c r="M36" s="5">
        <f t="shared" si="7"/>
        <v>13767.111111111093</v>
      </c>
    </row>
    <row r="37" spans="1:13">
      <c r="B37" s="6" t="s">
        <v>13</v>
      </c>
      <c r="C37" s="7">
        <v>1941</v>
      </c>
      <c r="D37" s="10"/>
      <c r="E37" s="5">
        <f t="shared" si="0"/>
        <v>1520.3333333333333</v>
      </c>
      <c r="F37" s="5">
        <f t="shared" si="1"/>
        <v>-420.66666666666674</v>
      </c>
      <c r="G37" s="5">
        <f t="shared" si="2"/>
        <v>420.66666666666674</v>
      </c>
      <c r="H37" s="5">
        <f t="shared" si="3"/>
        <v>176960.4444444445</v>
      </c>
      <c r="I37" s="5"/>
      <c r="J37" s="5">
        <f t="shared" si="4"/>
        <v>1681.5</v>
      </c>
      <c r="K37" s="5">
        <f t="shared" si="5"/>
        <v>-259.5</v>
      </c>
      <c r="L37" s="5">
        <f t="shared" si="6"/>
        <v>259.5</v>
      </c>
      <c r="M37" s="5">
        <f t="shared" si="7"/>
        <v>67340.25</v>
      </c>
    </row>
    <row r="38" spans="1:13">
      <c r="B38" s="6" t="s">
        <v>14</v>
      </c>
      <c r="C38" s="7">
        <v>1606</v>
      </c>
      <c r="D38" s="10"/>
      <c r="E38" s="5">
        <f t="shared" si="0"/>
        <v>1666</v>
      </c>
      <c r="F38" s="5">
        <f t="shared" si="1"/>
        <v>60</v>
      </c>
      <c r="G38" s="5">
        <f t="shared" si="2"/>
        <v>60</v>
      </c>
      <c r="H38" s="5">
        <f t="shared" si="3"/>
        <v>3600</v>
      </c>
      <c r="I38" s="5"/>
      <c r="J38" s="5">
        <f t="shared" si="4"/>
        <v>1672</v>
      </c>
      <c r="K38" s="5">
        <f t="shared" si="5"/>
        <v>66</v>
      </c>
      <c r="L38" s="5">
        <f t="shared" si="6"/>
        <v>66</v>
      </c>
      <c r="M38" s="5">
        <f t="shared" si="7"/>
        <v>4356</v>
      </c>
    </row>
    <row r="39" spans="1:13">
      <c r="B39" s="6" t="s">
        <v>15</v>
      </c>
      <c r="C39" s="7">
        <v>1389</v>
      </c>
      <c r="D39" s="10"/>
      <c r="E39" s="5">
        <f t="shared" si="0"/>
        <v>1777.6666666666667</v>
      </c>
      <c r="F39" s="5">
        <f t="shared" si="1"/>
        <v>388.66666666666674</v>
      </c>
      <c r="G39" s="5">
        <f t="shared" si="2"/>
        <v>388.66666666666674</v>
      </c>
      <c r="H39" s="5">
        <f t="shared" si="3"/>
        <v>151061.77777777784</v>
      </c>
      <c r="I39" s="5"/>
      <c r="J39" s="5">
        <f t="shared" si="4"/>
        <v>1624.5</v>
      </c>
      <c r="K39" s="5">
        <f t="shared" si="5"/>
        <v>235.5</v>
      </c>
      <c r="L39" s="5">
        <f t="shared" si="6"/>
        <v>235.5</v>
      </c>
      <c r="M39" s="5">
        <f t="shared" si="7"/>
        <v>55460.25</v>
      </c>
    </row>
    <row r="40" spans="1:13">
      <c r="C40" s="5"/>
      <c r="D40" s="10"/>
      <c r="E40" s="8" t="s">
        <v>20</v>
      </c>
      <c r="F40" s="9" t="s">
        <v>51</v>
      </c>
      <c r="G40" s="9" t="s">
        <v>52</v>
      </c>
      <c r="H40" s="9" t="s">
        <v>55</v>
      </c>
      <c r="I40" s="9"/>
      <c r="J40" s="9" t="s">
        <v>23</v>
      </c>
      <c r="K40" s="9" t="s">
        <v>51</v>
      </c>
      <c r="L40" s="9" t="s">
        <v>52</v>
      </c>
      <c r="M40" s="9" t="s">
        <v>55</v>
      </c>
    </row>
    <row r="41" spans="1:13">
      <c r="A41" s="13" t="s">
        <v>19</v>
      </c>
      <c r="B41" s="13"/>
      <c r="C41" s="14">
        <f>AVERAGE(C16:C39)</f>
        <v>1504.6666666666667</v>
      </c>
      <c r="D41" s="15"/>
      <c r="E41" s="14"/>
      <c r="F41" s="14">
        <f>SUM(F16:F39)/24</f>
        <v>-38.111111111111093</v>
      </c>
      <c r="G41" s="14">
        <f>SUM(G16:G39)/24</f>
        <v>303.33333333333337</v>
      </c>
      <c r="H41" s="14">
        <f>SQRT(SUM(H16:H39)/24)</f>
        <v>333.70637459366048</v>
      </c>
      <c r="I41" s="14"/>
      <c r="J41" s="14"/>
      <c r="K41" s="14">
        <f>SUM(K16:K39)/24</f>
        <v>-63.590277777777793</v>
      </c>
      <c r="L41" s="14">
        <f>SUM(L16:L39)/24</f>
        <v>247.20138888888891</v>
      </c>
      <c r="M41" s="14">
        <f>SQRT(SUM(M16:M39)/24)</f>
        <v>283.24118395289383</v>
      </c>
    </row>
    <row r="42" spans="1:13">
      <c r="K42" s="2"/>
    </row>
    <row r="43" spans="1:13">
      <c r="K43" s="2"/>
    </row>
    <row r="44" spans="1:13">
      <c r="K44" s="2"/>
    </row>
    <row r="45" spans="1:13">
      <c r="K45" s="2"/>
    </row>
    <row r="46" spans="1:13">
      <c r="K46" s="2"/>
    </row>
    <row r="47" spans="1:13">
      <c r="K47" s="2"/>
    </row>
    <row r="48" spans="1:13">
      <c r="K48" s="2"/>
    </row>
    <row r="49" spans="11:11">
      <c r="K49" s="2"/>
    </row>
    <row r="50" spans="11:11">
      <c r="K50" s="2"/>
    </row>
    <row r="51" spans="11:11">
      <c r="K51" s="2"/>
    </row>
    <row r="52" spans="11:11">
      <c r="K52" s="2"/>
    </row>
    <row r="53" spans="11:11">
      <c r="K53" s="2"/>
    </row>
    <row r="54" spans="11:11">
      <c r="K54" s="2"/>
    </row>
    <row r="55" spans="11:11">
      <c r="K55" s="2"/>
    </row>
    <row r="56" spans="11:11">
      <c r="K56" s="2"/>
    </row>
    <row r="57" spans="11:11">
      <c r="K57" s="2"/>
    </row>
    <row r="58" spans="11:11">
      <c r="K58" s="2"/>
    </row>
    <row r="59" spans="11:11">
      <c r="K59" s="2"/>
    </row>
    <row r="60" spans="11:11">
      <c r="K60" s="2"/>
    </row>
    <row r="61" spans="11:11">
      <c r="K61" s="2"/>
    </row>
    <row r="62" spans="11:11">
      <c r="K62" s="2"/>
    </row>
    <row r="63" spans="11:11">
      <c r="K63" s="2"/>
    </row>
    <row r="64" spans="11:11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  <row r="88" spans="11:11">
      <c r="K88" s="2"/>
    </row>
    <row r="89" spans="11:11">
      <c r="K89" s="2"/>
    </row>
    <row r="90" spans="11:11">
      <c r="K90" s="2"/>
    </row>
    <row r="91" spans="11:11">
      <c r="K91" s="2"/>
    </row>
    <row r="92" spans="11:11">
      <c r="K92" s="2"/>
    </row>
    <row r="93" spans="11:11">
      <c r="K93" s="2"/>
    </row>
    <row r="94" spans="11:11">
      <c r="K94" s="2"/>
    </row>
    <row r="95" spans="11:11">
      <c r="K95" s="2"/>
    </row>
    <row r="96" spans="11:11">
      <c r="K96" s="2"/>
    </row>
    <row r="97" spans="11:11">
      <c r="K97" s="2"/>
    </row>
    <row r="98" spans="11:11">
      <c r="K98" s="2"/>
    </row>
    <row r="99" spans="11:11">
      <c r="K99" s="2"/>
    </row>
    <row r="100" spans="11:11">
      <c r="K100" s="2"/>
    </row>
    <row r="101" spans="11:11">
      <c r="K101" s="2"/>
    </row>
    <row r="102" spans="11:11">
      <c r="K102" s="2"/>
    </row>
    <row r="103" spans="11:11">
      <c r="K103" s="2"/>
    </row>
    <row r="104" spans="11:11">
      <c r="K104" s="2"/>
    </row>
    <row r="105" spans="11:11">
      <c r="K105" s="2"/>
    </row>
    <row r="106" spans="11:11">
      <c r="K106" s="2"/>
    </row>
    <row r="107" spans="11:11">
      <c r="K107" s="2"/>
    </row>
    <row r="108" spans="11:11">
      <c r="K108" s="2"/>
    </row>
    <row r="109" spans="11:11">
      <c r="K109" s="2"/>
    </row>
    <row r="110" spans="11:11">
      <c r="K110" s="2"/>
    </row>
    <row r="111" spans="11:11">
      <c r="K111" s="2"/>
    </row>
    <row r="112" spans="11:11">
      <c r="K112" s="2"/>
    </row>
    <row r="113" spans="11:11">
      <c r="K113" s="2"/>
    </row>
    <row r="114" spans="11:11">
      <c r="K114" s="2"/>
    </row>
    <row r="115" spans="11:11">
      <c r="K115" s="2"/>
    </row>
    <row r="116" spans="11:11">
      <c r="K116" s="2"/>
    </row>
    <row r="117" spans="11:11">
      <c r="K117" s="2"/>
    </row>
    <row r="118" spans="11:11">
      <c r="K118" s="2"/>
    </row>
    <row r="119" spans="11:11">
      <c r="K119" s="2"/>
    </row>
    <row r="120" spans="11:11">
      <c r="K120" s="2"/>
    </row>
    <row r="121" spans="11:11">
      <c r="K121" s="2"/>
    </row>
    <row r="122" spans="11:11">
      <c r="K122" s="2"/>
    </row>
    <row r="123" spans="11:11">
      <c r="K123" s="2"/>
    </row>
    <row r="124" spans="11:11">
      <c r="K124" s="2"/>
    </row>
    <row r="125" spans="11:11">
      <c r="K125" s="2"/>
    </row>
    <row r="126" spans="11:11">
      <c r="K126" s="2"/>
    </row>
    <row r="127" spans="11:11">
      <c r="K127" s="2"/>
    </row>
    <row r="128" spans="11:11">
      <c r="K128" s="2"/>
    </row>
    <row r="129" spans="11:11">
      <c r="K129" s="2"/>
    </row>
    <row r="130" spans="11:11">
      <c r="K130" s="2"/>
    </row>
    <row r="131" spans="11:11">
      <c r="K131" s="2"/>
    </row>
    <row r="132" spans="11:11">
      <c r="K132" s="2"/>
    </row>
    <row r="133" spans="11:11">
      <c r="K133" s="2"/>
    </row>
    <row r="134" spans="11:11">
      <c r="K134" s="2"/>
    </row>
    <row r="135" spans="11:11">
      <c r="K135" s="2"/>
    </row>
    <row r="136" spans="11:11">
      <c r="K136" s="2"/>
    </row>
    <row r="137" spans="11:11">
      <c r="K137" s="2"/>
    </row>
    <row r="138" spans="11:11">
      <c r="K138" s="2"/>
    </row>
    <row r="139" spans="11:11">
      <c r="K139" s="2"/>
    </row>
    <row r="140" spans="11:11">
      <c r="K140" s="2"/>
    </row>
    <row r="141" spans="11:11">
      <c r="K141" s="2"/>
    </row>
    <row r="142" spans="11:11">
      <c r="K142" s="2"/>
    </row>
    <row r="143" spans="11:11">
      <c r="K143" s="2"/>
    </row>
    <row r="144" spans="11:11">
      <c r="K144" s="2"/>
    </row>
    <row r="145" spans="11:11">
      <c r="K145" s="2"/>
    </row>
    <row r="146" spans="11:11">
      <c r="K146" s="2"/>
    </row>
    <row r="147" spans="11:11">
      <c r="K147" s="2"/>
    </row>
    <row r="148" spans="11:11">
      <c r="K148" s="2"/>
    </row>
    <row r="149" spans="11:11">
      <c r="K149" s="2"/>
    </row>
    <row r="150" spans="11:11">
      <c r="K150" s="2"/>
    </row>
    <row r="151" spans="11:11">
      <c r="K151" s="2"/>
    </row>
    <row r="152" spans="11:11">
      <c r="K152" s="2"/>
    </row>
    <row r="153" spans="11:11">
      <c r="K153" s="2"/>
    </row>
    <row r="154" spans="11:11">
      <c r="K154" s="2"/>
    </row>
    <row r="155" spans="11:11">
      <c r="K155" s="2"/>
    </row>
    <row r="156" spans="11:11">
      <c r="K156" s="2"/>
    </row>
    <row r="157" spans="11:11">
      <c r="K157" s="2"/>
    </row>
    <row r="158" spans="11:11">
      <c r="K158" s="2"/>
    </row>
    <row r="159" spans="11:11">
      <c r="K159" s="2"/>
    </row>
    <row r="160" spans="11:11">
      <c r="K160" s="2"/>
    </row>
    <row r="161" spans="11:11">
      <c r="K161" s="2"/>
    </row>
    <row r="162" spans="11:11">
      <c r="K162" s="2"/>
    </row>
    <row r="163" spans="11:11">
      <c r="K163" s="2"/>
    </row>
    <row r="164" spans="11:11">
      <c r="K164" s="2"/>
    </row>
    <row r="165" spans="11:11">
      <c r="K165" s="2"/>
    </row>
    <row r="166" spans="11:11">
      <c r="K166" s="2"/>
    </row>
    <row r="167" spans="11:11">
      <c r="K167" s="2"/>
    </row>
    <row r="168" spans="11:11">
      <c r="K168" s="2"/>
    </row>
    <row r="169" spans="11:11">
      <c r="K169" s="2"/>
    </row>
    <row r="170" spans="11:11">
      <c r="K170" s="2"/>
    </row>
    <row r="171" spans="11:11">
      <c r="K171" s="2"/>
    </row>
    <row r="172" spans="11:11">
      <c r="K172" s="2"/>
    </row>
    <row r="173" spans="11:11">
      <c r="K173" s="2"/>
    </row>
    <row r="174" spans="11:11">
      <c r="K174" s="2"/>
    </row>
    <row r="175" spans="11:11">
      <c r="K175" s="2"/>
    </row>
    <row r="176" spans="11:11">
      <c r="K176" s="2"/>
    </row>
    <row r="177" spans="11:11">
      <c r="K177" s="2"/>
    </row>
    <row r="178" spans="11:11">
      <c r="K178" s="2"/>
    </row>
    <row r="179" spans="11:11">
      <c r="K179" s="2"/>
    </row>
    <row r="180" spans="11:11">
      <c r="K180" s="2"/>
    </row>
    <row r="181" spans="11:11">
      <c r="K181" s="2"/>
    </row>
    <row r="182" spans="11:11">
      <c r="K182" s="2"/>
    </row>
    <row r="183" spans="11:11">
      <c r="K183" s="2"/>
    </row>
    <row r="184" spans="11:11">
      <c r="K184" s="2"/>
    </row>
    <row r="185" spans="11:11">
      <c r="K185" s="2"/>
    </row>
    <row r="186" spans="11:11">
      <c r="K186" s="2"/>
    </row>
    <row r="187" spans="11:11">
      <c r="K187" s="2"/>
    </row>
    <row r="188" spans="11:11">
      <c r="K188" s="2"/>
    </row>
    <row r="189" spans="11:11">
      <c r="K189" s="2"/>
    </row>
    <row r="190" spans="11:11">
      <c r="K190" s="2"/>
    </row>
    <row r="191" spans="11:11">
      <c r="K191" s="2"/>
    </row>
    <row r="192" spans="11:11">
      <c r="K192" s="2"/>
    </row>
    <row r="193" spans="11:11">
      <c r="K193" s="2"/>
    </row>
    <row r="194" spans="11:11">
      <c r="K194" s="2"/>
    </row>
    <row r="195" spans="11:11">
      <c r="K195" s="2"/>
    </row>
    <row r="196" spans="11:11">
      <c r="K196" s="2"/>
    </row>
    <row r="197" spans="11:11">
      <c r="K197" s="2"/>
    </row>
    <row r="198" spans="11:11">
      <c r="K198" s="2"/>
    </row>
    <row r="199" spans="11:11">
      <c r="K199" s="2"/>
    </row>
    <row r="200" spans="11:11">
      <c r="K200" s="2"/>
    </row>
    <row r="201" spans="11:11">
      <c r="K201" s="2"/>
    </row>
    <row r="202" spans="11:11">
      <c r="K202" s="2"/>
    </row>
    <row r="203" spans="11:11">
      <c r="K203" s="2"/>
    </row>
    <row r="204" spans="11:11">
      <c r="K204" s="2"/>
    </row>
    <row r="205" spans="11:11">
      <c r="K205" s="2"/>
    </row>
    <row r="206" spans="11:11">
      <c r="K206" s="2"/>
    </row>
    <row r="207" spans="11:11">
      <c r="K207" s="2"/>
    </row>
    <row r="208" spans="11:11">
      <c r="K208" s="2"/>
    </row>
    <row r="209" spans="11:11">
      <c r="K209" s="2"/>
    </row>
    <row r="210" spans="11:11">
      <c r="K210" s="2"/>
    </row>
    <row r="211" spans="11:11">
      <c r="K211" s="2"/>
    </row>
    <row r="212" spans="11:11">
      <c r="K212" s="2"/>
    </row>
    <row r="213" spans="11:11">
      <c r="K213" s="2"/>
    </row>
    <row r="214" spans="11:11">
      <c r="K214" s="2"/>
    </row>
    <row r="215" spans="11:11">
      <c r="K215" s="2"/>
    </row>
    <row r="216" spans="11:11">
      <c r="K216" s="2"/>
    </row>
    <row r="217" spans="11:11">
      <c r="K217" s="2"/>
    </row>
    <row r="218" spans="11:11">
      <c r="K218" s="2"/>
    </row>
    <row r="219" spans="11:11">
      <c r="K219" s="2"/>
    </row>
    <row r="220" spans="11:11">
      <c r="K220" s="2"/>
    </row>
    <row r="221" spans="11:11">
      <c r="K221" s="2"/>
    </row>
    <row r="222" spans="11:11">
      <c r="K222" s="2"/>
    </row>
    <row r="223" spans="11:11">
      <c r="K223" s="2"/>
    </row>
    <row r="224" spans="11:11">
      <c r="K224" s="2"/>
    </row>
    <row r="225" spans="11:11">
      <c r="K225" s="2"/>
    </row>
    <row r="226" spans="11:11">
      <c r="K226" s="2"/>
    </row>
    <row r="227" spans="11:11">
      <c r="K227" s="2"/>
    </row>
    <row r="228" spans="11:11">
      <c r="K228" s="2"/>
    </row>
    <row r="229" spans="11:11">
      <c r="K229" s="2"/>
    </row>
    <row r="230" spans="11:11">
      <c r="K230" s="2"/>
    </row>
    <row r="231" spans="11:11">
      <c r="K231" s="2"/>
    </row>
    <row r="232" spans="11:11">
      <c r="K232" s="2"/>
    </row>
    <row r="233" spans="11:11">
      <c r="K233" s="2"/>
    </row>
    <row r="234" spans="11:11">
      <c r="K234" s="2"/>
    </row>
    <row r="235" spans="11:11">
      <c r="K235" s="2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5"/>
  <sheetViews>
    <sheetView topLeftCell="A10" workbookViewId="0">
      <selection activeCell="E39" sqref="E39"/>
    </sheetView>
  </sheetViews>
  <sheetFormatPr baseColWidth="10" defaultRowHeight="12.75"/>
  <cols>
    <col min="1" max="1" width="11.5703125" style="1" customWidth="1"/>
    <col min="3" max="3" width="11.5703125" style="3" customWidth="1"/>
    <col min="4" max="4" width="2.85546875" style="11" customWidth="1"/>
    <col min="5" max="5" width="8.7109375" style="5" customWidth="1"/>
    <col min="6" max="7" width="8.7109375" customWidth="1"/>
    <col min="8" max="8" width="8.7109375" style="3" customWidth="1"/>
    <col min="9" max="9" width="2.28515625" customWidth="1"/>
    <col min="10" max="12" width="8.7109375" customWidth="1"/>
    <col min="13" max="13" width="8.7109375" style="3" customWidth="1"/>
  </cols>
  <sheetData>
    <row r="1" spans="1:13" ht="15.75">
      <c r="A1" s="62" t="s">
        <v>16</v>
      </c>
      <c r="B1" s="63"/>
      <c r="D1" s="3"/>
      <c r="F1" s="4" t="s">
        <v>39</v>
      </c>
    </row>
    <row r="2" spans="1:13">
      <c r="D2" s="3"/>
    </row>
    <row r="3" spans="1:13">
      <c r="D3" s="3"/>
    </row>
    <row r="4" spans="1:13">
      <c r="A4" s="1" t="s">
        <v>1</v>
      </c>
      <c r="B4" t="s">
        <v>4</v>
      </c>
      <c r="C4" s="3">
        <v>892</v>
      </c>
      <c r="D4" s="3"/>
    </row>
    <row r="5" spans="1:13">
      <c r="B5" t="s">
        <v>5</v>
      </c>
      <c r="C5" s="3">
        <v>1114</v>
      </c>
      <c r="D5" s="3"/>
    </row>
    <row r="6" spans="1:13">
      <c r="B6" t="s">
        <v>6</v>
      </c>
      <c r="C6" s="3">
        <v>1280</v>
      </c>
      <c r="D6" s="3"/>
    </row>
    <row r="7" spans="1:13">
      <c r="B7" t="s">
        <v>7</v>
      </c>
      <c r="C7" s="3">
        <v>1328</v>
      </c>
      <c r="D7" s="3"/>
    </row>
    <row r="8" spans="1:13">
      <c r="B8" t="s">
        <v>8</v>
      </c>
      <c r="C8" s="3">
        <v>1253</v>
      </c>
      <c r="D8" s="3"/>
    </row>
    <row r="9" spans="1:13">
      <c r="B9" t="s">
        <v>9</v>
      </c>
      <c r="C9" s="3">
        <v>1125</v>
      </c>
      <c r="D9" s="3"/>
    </row>
    <row r="10" spans="1:13">
      <c r="B10" t="s">
        <v>10</v>
      </c>
      <c r="C10" s="3">
        <v>1197</v>
      </c>
      <c r="D10" s="3"/>
    </row>
    <row r="11" spans="1:13">
      <c r="B11" t="s">
        <v>11</v>
      </c>
      <c r="C11" s="3">
        <v>867</v>
      </c>
      <c r="D11" s="3"/>
    </row>
    <row r="12" spans="1:13">
      <c r="B12" t="s">
        <v>12</v>
      </c>
      <c r="C12" s="3">
        <v>1406</v>
      </c>
      <c r="D12" s="3"/>
      <c r="E12" s="42" t="s">
        <v>54</v>
      </c>
      <c r="F12" s="52">
        <v>0.1</v>
      </c>
      <c r="J12" s="43" t="s">
        <v>54</v>
      </c>
      <c r="K12" s="52">
        <v>0.5</v>
      </c>
    </row>
    <row r="13" spans="1:13">
      <c r="B13" t="s">
        <v>13</v>
      </c>
      <c r="C13" s="3">
        <v>1503</v>
      </c>
      <c r="D13" s="3"/>
      <c r="E13" s="73" t="s">
        <v>66</v>
      </c>
    </row>
    <row r="14" spans="1:13">
      <c r="B14" t="s">
        <v>14</v>
      </c>
      <c r="C14" s="3">
        <v>1068</v>
      </c>
      <c r="D14" s="3"/>
    </row>
    <row r="15" spans="1:13">
      <c r="B15" t="s">
        <v>15</v>
      </c>
      <c r="C15" s="3">
        <v>979</v>
      </c>
      <c r="D15" s="3"/>
      <c r="E15" s="8" t="s">
        <v>21</v>
      </c>
      <c r="F15" s="9" t="s">
        <v>51</v>
      </c>
      <c r="G15" s="9" t="s">
        <v>52</v>
      </c>
      <c r="H15" s="9" t="s">
        <v>55</v>
      </c>
      <c r="I15" s="9"/>
      <c r="J15" s="9" t="s">
        <v>22</v>
      </c>
      <c r="K15" s="9" t="s">
        <v>51</v>
      </c>
      <c r="L15" s="9" t="s">
        <v>52</v>
      </c>
      <c r="M15" s="9" t="s">
        <v>55</v>
      </c>
    </row>
    <row r="16" spans="1:13">
      <c r="A16" s="1" t="s">
        <v>2</v>
      </c>
      <c r="B16" s="6" t="s">
        <v>4</v>
      </c>
      <c r="C16" s="7">
        <v>1031</v>
      </c>
      <c r="D16" s="10"/>
      <c r="E16" s="5">
        <f>alpha01*C15+(1-alpha01)*(C10+C11+C12+C13+C14+C15)/6</f>
        <v>1150.9000000000001</v>
      </c>
      <c r="F16" s="2">
        <f>E16-C16</f>
        <v>119.90000000000009</v>
      </c>
      <c r="G16" s="2">
        <f>ABS(E16-C16)</f>
        <v>119.90000000000009</v>
      </c>
      <c r="H16" s="5">
        <f>(E16-C16)^2</f>
        <v>14376.010000000022</v>
      </c>
      <c r="I16" s="2"/>
      <c r="J16" s="2">
        <f>alpha05*C15+(1-alpha05)*(C10+C11+C12+C13+C14+C15)/6</f>
        <v>1074.5</v>
      </c>
      <c r="K16" s="2">
        <f>J16-C16</f>
        <v>43.5</v>
      </c>
      <c r="L16" s="2">
        <f>ABS(J16-C16)</f>
        <v>43.5</v>
      </c>
      <c r="M16" s="5">
        <f>(J16-C16)^2</f>
        <v>1892.25</v>
      </c>
    </row>
    <row r="17" spans="1:13">
      <c r="B17" s="6" t="s">
        <v>5</v>
      </c>
      <c r="C17" s="7">
        <v>1353</v>
      </c>
      <c r="D17" s="10"/>
      <c r="E17" s="5">
        <f>alpha01*C16+(1-alpha01)*E16</f>
        <v>1138.9100000000001</v>
      </c>
      <c r="F17" s="2">
        <f t="shared" ref="F17:F39" si="0">E17-C17</f>
        <v>-214.08999999999992</v>
      </c>
      <c r="G17" s="2">
        <f t="shared" ref="G17:G39" si="1">ABS(E17-C17)</f>
        <v>214.08999999999992</v>
      </c>
      <c r="H17" s="5">
        <f t="shared" ref="H17:H39" si="2">(E17-C17)^2</f>
        <v>45834.528099999967</v>
      </c>
      <c r="I17" s="2"/>
      <c r="J17" s="2">
        <f>alpha05*C16+(1-alpha05)*J16</f>
        <v>1052.75</v>
      </c>
      <c r="K17" s="2">
        <f t="shared" ref="K17:K39" si="3">J17-C17</f>
        <v>-300.25</v>
      </c>
      <c r="L17" s="2">
        <f t="shared" ref="L17:L39" si="4">ABS(J17-C17)</f>
        <v>300.25</v>
      </c>
      <c r="M17" s="5">
        <f t="shared" ref="M17:M39" si="5">(J17-C17)^2</f>
        <v>90150.0625</v>
      </c>
    </row>
    <row r="18" spans="1:13">
      <c r="B18" s="6" t="s">
        <v>6</v>
      </c>
      <c r="C18" s="7">
        <v>1512</v>
      </c>
      <c r="D18" s="10"/>
      <c r="E18" s="5">
        <f t="shared" ref="E18:E39" si="6">alpha01*C17+(1-alpha01)*E17</f>
        <v>1160.319</v>
      </c>
      <c r="F18" s="2">
        <f t="shared" si="0"/>
        <v>-351.68100000000004</v>
      </c>
      <c r="G18" s="2">
        <f t="shared" si="1"/>
        <v>351.68100000000004</v>
      </c>
      <c r="H18" s="5">
        <f t="shared" si="2"/>
        <v>123679.52576100003</v>
      </c>
      <c r="I18" s="2"/>
      <c r="J18" s="2">
        <f t="shared" ref="J18:J39" si="7">alpha05*C17+(1-alpha05)*J17</f>
        <v>1202.875</v>
      </c>
      <c r="K18" s="2">
        <f t="shared" si="3"/>
        <v>-309.125</v>
      </c>
      <c r="L18" s="2">
        <f t="shared" si="4"/>
        <v>309.125</v>
      </c>
      <c r="M18" s="5">
        <f t="shared" si="5"/>
        <v>95558.265625</v>
      </c>
    </row>
    <row r="19" spans="1:13">
      <c r="B19" s="6" t="s">
        <v>7</v>
      </c>
      <c r="C19" s="7">
        <v>1670</v>
      </c>
      <c r="D19" s="10"/>
      <c r="E19" s="5">
        <f t="shared" si="6"/>
        <v>1195.4871000000001</v>
      </c>
      <c r="F19" s="2">
        <f t="shared" si="0"/>
        <v>-474.51289999999995</v>
      </c>
      <c r="G19" s="2">
        <f t="shared" si="1"/>
        <v>474.51289999999995</v>
      </c>
      <c r="H19" s="5">
        <f t="shared" si="2"/>
        <v>225162.49226640994</v>
      </c>
      <c r="I19" s="2"/>
      <c r="J19" s="2">
        <f t="shared" si="7"/>
        <v>1357.4375</v>
      </c>
      <c r="K19" s="2">
        <f t="shared" si="3"/>
        <v>-312.5625</v>
      </c>
      <c r="L19" s="2">
        <f t="shared" si="4"/>
        <v>312.5625</v>
      </c>
      <c r="M19" s="5">
        <f t="shared" si="5"/>
        <v>97695.31640625</v>
      </c>
    </row>
    <row r="20" spans="1:13">
      <c r="B20" s="6" t="s">
        <v>8</v>
      </c>
      <c r="C20" s="7">
        <v>1523</v>
      </c>
      <c r="D20" s="10"/>
      <c r="E20" s="5">
        <f t="shared" si="6"/>
        <v>1242.93839</v>
      </c>
      <c r="F20" s="2">
        <f t="shared" si="0"/>
        <v>-280.06160999999997</v>
      </c>
      <c r="G20" s="2">
        <f t="shared" si="1"/>
        <v>280.06160999999997</v>
      </c>
      <c r="H20" s="5">
        <f t="shared" si="2"/>
        <v>78434.50539579209</v>
      </c>
      <c r="I20" s="2"/>
      <c r="J20" s="2">
        <f t="shared" si="7"/>
        <v>1513.71875</v>
      </c>
      <c r="K20" s="2">
        <f t="shared" si="3"/>
        <v>-9.28125</v>
      </c>
      <c r="L20" s="2">
        <f t="shared" si="4"/>
        <v>9.28125</v>
      </c>
      <c r="M20" s="5">
        <f t="shared" si="5"/>
        <v>86.1416015625</v>
      </c>
    </row>
    <row r="21" spans="1:13">
      <c r="B21" s="6" t="s">
        <v>9</v>
      </c>
      <c r="C21" s="7">
        <v>1386</v>
      </c>
      <c r="D21" s="10"/>
      <c r="E21" s="5">
        <f t="shared" si="6"/>
        <v>1270.944551</v>
      </c>
      <c r="F21" s="2">
        <f t="shared" si="0"/>
        <v>-115.05544899999995</v>
      </c>
      <c r="G21" s="2">
        <f t="shared" si="1"/>
        <v>115.05544899999995</v>
      </c>
      <c r="H21" s="5">
        <f t="shared" si="2"/>
        <v>13237.756344591589</v>
      </c>
      <c r="I21" s="2"/>
      <c r="J21" s="2">
        <f t="shared" si="7"/>
        <v>1518.359375</v>
      </c>
      <c r="K21" s="2">
        <f t="shared" si="3"/>
        <v>132.359375</v>
      </c>
      <c r="L21" s="2">
        <f t="shared" si="4"/>
        <v>132.359375</v>
      </c>
      <c r="M21" s="5">
        <f t="shared" si="5"/>
        <v>17519.004150390625</v>
      </c>
    </row>
    <row r="22" spans="1:13">
      <c r="B22" s="6" t="s">
        <v>10</v>
      </c>
      <c r="C22" s="7">
        <v>1351</v>
      </c>
      <c r="D22" s="10"/>
      <c r="E22" s="5">
        <f t="shared" si="6"/>
        <v>1282.4500959</v>
      </c>
      <c r="F22" s="2">
        <f t="shared" si="0"/>
        <v>-68.549904100000049</v>
      </c>
      <c r="G22" s="2">
        <f t="shared" si="1"/>
        <v>68.549904100000049</v>
      </c>
      <c r="H22" s="5">
        <f t="shared" si="2"/>
        <v>4699.0893521192038</v>
      </c>
      <c r="I22" s="2"/>
      <c r="J22" s="2">
        <f t="shared" si="7"/>
        <v>1452.1796875</v>
      </c>
      <c r="K22" s="2">
        <f t="shared" si="3"/>
        <v>101.1796875</v>
      </c>
      <c r="L22" s="2">
        <f t="shared" si="4"/>
        <v>101.1796875</v>
      </c>
      <c r="M22" s="5">
        <f t="shared" si="5"/>
        <v>10237.329162597656</v>
      </c>
    </row>
    <row r="23" spans="1:13">
      <c r="B23" s="6" t="s">
        <v>11</v>
      </c>
      <c r="C23" s="7">
        <v>1075</v>
      </c>
      <c r="D23" s="10"/>
      <c r="E23" s="5">
        <f t="shared" si="6"/>
        <v>1289.30508631</v>
      </c>
      <c r="F23" s="2">
        <f t="shared" si="0"/>
        <v>214.30508630999998</v>
      </c>
      <c r="G23" s="2">
        <f t="shared" si="1"/>
        <v>214.30508630999998</v>
      </c>
      <c r="H23" s="5">
        <f t="shared" si="2"/>
        <v>45926.670018336539</v>
      </c>
      <c r="I23" s="2"/>
      <c r="J23" s="2">
        <f t="shared" si="7"/>
        <v>1401.58984375</v>
      </c>
      <c r="K23" s="2">
        <f t="shared" si="3"/>
        <v>326.58984375</v>
      </c>
      <c r="L23" s="2">
        <f t="shared" si="4"/>
        <v>326.58984375</v>
      </c>
      <c r="M23" s="5">
        <f t="shared" si="5"/>
        <v>106660.92604064941</v>
      </c>
    </row>
    <row r="24" spans="1:13">
      <c r="B24" s="6" t="s">
        <v>12</v>
      </c>
      <c r="C24" s="7">
        <v>1623</v>
      </c>
      <c r="D24" s="10"/>
      <c r="E24" s="5">
        <f t="shared" si="6"/>
        <v>1267.8745776789999</v>
      </c>
      <c r="F24" s="2">
        <f t="shared" si="0"/>
        <v>-355.12542232100009</v>
      </c>
      <c r="G24" s="2">
        <f t="shared" si="1"/>
        <v>355.12542232100009</v>
      </c>
      <c r="H24" s="5">
        <f t="shared" si="2"/>
        <v>126114.06557866867</v>
      </c>
      <c r="I24" s="2"/>
      <c r="J24" s="2">
        <f t="shared" si="7"/>
        <v>1238.294921875</v>
      </c>
      <c r="K24" s="2">
        <f t="shared" si="3"/>
        <v>-384.705078125</v>
      </c>
      <c r="L24" s="2">
        <f t="shared" si="4"/>
        <v>384.705078125</v>
      </c>
      <c r="M24" s="5">
        <f t="shared" si="5"/>
        <v>147997.99713516235</v>
      </c>
    </row>
    <row r="25" spans="1:13">
      <c r="B25" s="6" t="s">
        <v>13</v>
      </c>
      <c r="C25" s="7">
        <v>1756</v>
      </c>
      <c r="D25" s="10"/>
      <c r="E25" s="5">
        <f t="shared" si="6"/>
        <v>1303.3871199110999</v>
      </c>
      <c r="F25" s="2">
        <f t="shared" si="0"/>
        <v>-452.61288008890006</v>
      </c>
      <c r="G25" s="2">
        <f t="shared" si="1"/>
        <v>452.61288008890006</v>
      </c>
      <c r="H25" s="5">
        <f t="shared" si="2"/>
        <v>204858.41922236903</v>
      </c>
      <c r="I25" s="2"/>
      <c r="J25" s="2">
        <f t="shared" si="7"/>
        <v>1430.6474609375</v>
      </c>
      <c r="K25" s="2">
        <f t="shared" si="3"/>
        <v>-325.3525390625</v>
      </c>
      <c r="L25" s="2">
        <f t="shared" si="4"/>
        <v>325.3525390625</v>
      </c>
      <c r="M25" s="5">
        <f t="shared" si="5"/>
        <v>105854.27467441559</v>
      </c>
    </row>
    <row r="26" spans="1:13">
      <c r="B26" s="6" t="s">
        <v>14</v>
      </c>
      <c r="C26" s="7">
        <v>1346</v>
      </c>
      <c r="D26" s="10"/>
      <c r="E26" s="5">
        <f t="shared" si="6"/>
        <v>1348.6484079199899</v>
      </c>
      <c r="F26" s="2">
        <f t="shared" si="0"/>
        <v>2.6484079199899497</v>
      </c>
      <c r="G26" s="2">
        <f t="shared" si="1"/>
        <v>2.6484079199899497</v>
      </c>
      <c r="H26" s="5">
        <f t="shared" si="2"/>
        <v>7.0140645106654924</v>
      </c>
      <c r="I26" s="2"/>
      <c r="J26" s="2">
        <f t="shared" si="7"/>
        <v>1593.32373046875</v>
      </c>
      <c r="K26" s="2">
        <f t="shared" si="3"/>
        <v>247.32373046875</v>
      </c>
      <c r="L26" s="2">
        <f t="shared" si="4"/>
        <v>247.32373046875</v>
      </c>
      <c r="M26" s="5">
        <f t="shared" si="5"/>
        <v>61169.027652978897</v>
      </c>
    </row>
    <row r="27" spans="1:13">
      <c r="B27" s="6" t="s">
        <v>15</v>
      </c>
      <c r="C27" s="7">
        <v>1031</v>
      </c>
      <c r="D27" s="10"/>
      <c r="E27" s="5">
        <f t="shared" si="6"/>
        <v>1348.383567127991</v>
      </c>
      <c r="F27" s="2">
        <f t="shared" si="0"/>
        <v>317.383567127991</v>
      </c>
      <c r="G27" s="2">
        <f t="shared" si="1"/>
        <v>317.383567127991</v>
      </c>
      <c r="H27" s="5">
        <f t="shared" si="2"/>
        <v>100732.32868288796</v>
      </c>
      <c r="I27" s="2"/>
      <c r="J27" s="2">
        <f t="shared" si="7"/>
        <v>1469.661865234375</v>
      </c>
      <c r="K27" s="2">
        <f t="shared" si="3"/>
        <v>438.661865234375</v>
      </c>
      <c r="L27" s="2">
        <f t="shared" si="4"/>
        <v>438.661865234375</v>
      </c>
      <c r="M27" s="5">
        <f t="shared" si="5"/>
        <v>192424.23201090097</v>
      </c>
    </row>
    <row r="28" spans="1:13">
      <c r="A28" s="1" t="s">
        <v>3</v>
      </c>
      <c r="B28" s="6" t="s">
        <v>4</v>
      </c>
      <c r="C28" s="7">
        <v>1154</v>
      </c>
      <c r="D28" s="10"/>
      <c r="E28" s="5">
        <f t="shared" si="6"/>
        <v>1316.6452104151917</v>
      </c>
      <c r="F28" s="2">
        <f t="shared" si="0"/>
        <v>162.64521041519174</v>
      </c>
      <c r="G28" s="2">
        <f t="shared" si="1"/>
        <v>162.64521041519174</v>
      </c>
      <c r="H28" s="5">
        <f t="shared" si="2"/>
        <v>26453.464471001997</v>
      </c>
      <c r="I28" s="2"/>
      <c r="J28" s="2">
        <f t="shared" si="7"/>
        <v>1250.3309326171875</v>
      </c>
      <c r="K28" s="2">
        <f t="shared" si="3"/>
        <v>96.3309326171875</v>
      </c>
      <c r="L28" s="2">
        <f t="shared" si="4"/>
        <v>96.3309326171875</v>
      </c>
      <c r="M28" s="5">
        <f t="shared" si="5"/>
        <v>9279.6485788971186</v>
      </c>
    </row>
    <row r="29" spans="1:13">
      <c r="B29" s="6" t="s">
        <v>5</v>
      </c>
      <c r="C29" s="7">
        <v>1567</v>
      </c>
      <c r="D29" s="10"/>
      <c r="E29" s="5">
        <f t="shared" si="6"/>
        <v>1300.3806893736728</v>
      </c>
      <c r="F29" s="2">
        <f t="shared" si="0"/>
        <v>-266.61931062632721</v>
      </c>
      <c r="G29" s="2">
        <f t="shared" si="1"/>
        <v>266.61931062632721</v>
      </c>
      <c r="H29" s="5">
        <f t="shared" si="2"/>
        <v>71085.85679885796</v>
      </c>
      <c r="I29" s="2"/>
      <c r="J29" s="2">
        <f t="shared" si="7"/>
        <v>1202.1654663085937</v>
      </c>
      <c r="K29" s="2">
        <f t="shared" si="3"/>
        <v>-364.83453369140625</v>
      </c>
      <c r="L29" s="2">
        <f t="shared" si="4"/>
        <v>364.83453369140625</v>
      </c>
      <c r="M29" s="5">
        <f t="shared" si="5"/>
        <v>133104.23697382584</v>
      </c>
    </row>
    <row r="30" spans="1:13">
      <c r="B30" s="6" t="s">
        <v>6</v>
      </c>
      <c r="C30" s="7">
        <v>1709</v>
      </c>
      <c r="D30" s="10"/>
      <c r="E30" s="5">
        <f t="shared" si="6"/>
        <v>1327.0426204363057</v>
      </c>
      <c r="F30" s="2">
        <f t="shared" si="0"/>
        <v>-381.9573795636943</v>
      </c>
      <c r="G30" s="2">
        <f t="shared" si="1"/>
        <v>381.9573795636943</v>
      </c>
      <c r="H30" s="5">
        <f t="shared" si="2"/>
        <v>145891.43980316404</v>
      </c>
      <c r="I30" s="2"/>
      <c r="J30" s="2">
        <f t="shared" si="7"/>
        <v>1384.5827331542969</v>
      </c>
      <c r="K30" s="2">
        <f t="shared" si="3"/>
        <v>-324.41726684570312</v>
      </c>
      <c r="L30" s="2">
        <f t="shared" si="4"/>
        <v>324.41726684570312</v>
      </c>
      <c r="M30" s="5">
        <f t="shared" si="5"/>
        <v>105246.56302763615</v>
      </c>
    </row>
    <row r="31" spans="1:13">
      <c r="B31" s="6" t="s">
        <v>7</v>
      </c>
      <c r="C31" s="7">
        <v>1998</v>
      </c>
      <c r="D31" s="10"/>
      <c r="E31" s="5">
        <f t="shared" si="6"/>
        <v>1365.2383583926753</v>
      </c>
      <c r="F31" s="2">
        <f t="shared" si="0"/>
        <v>-632.76164160732469</v>
      </c>
      <c r="G31" s="2">
        <f t="shared" si="1"/>
        <v>632.76164160732469</v>
      </c>
      <c r="H31" s="5">
        <f t="shared" si="2"/>
        <v>400387.29508959642</v>
      </c>
      <c r="I31" s="2"/>
      <c r="J31" s="2">
        <f t="shared" si="7"/>
        <v>1546.7913665771484</v>
      </c>
      <c r="K31" s="2">
        <f t="shared" si="3"/>
        <v>-451.20863342285156</v>
      </c>
      <c r="L31" s="2">
        <f t="shared" si="4"/>
        <v>451.20863342285156</v>
      </c>
      <c r="M31" s="5">
        <f t="shared" si="5"/>
        <v>203589.23087531724</v>
      </c>
    </row>
    <row r="32" spans="1:13">
      <c r="B32" s="6" t="s">
        <v>8</v>
      </c>
      <c r="C32" s="7">
        <v>1891</v>
      </c>
      <c r="D32" s="10"/>
      <c r="E32" s="5">
        <f t="shared" si="6"/>
        <v>1428.5145225534077</v>
      </c>
      <c r="F32" s="2">
        <f t="shared" si="0"/>
        <v>-462.48547744659231</v>
      </c>
      <c r="G32" s="2">
        <f t="shared" si="1"/>
        <v>462.48547744659231</v>
      </c>
      <c r="H32" s="5">
        <f t="shared" si="2"/>
        <v>213892.81684900244</v>
      </c>
      <c r="I32" s="2"/>
      <c r="J32" s="2">
        <f t="shared" si="7"/>
        <v>1772.3956832885742</v>
      </c>
      <c r="K32" s="2">
        <f t="shared" si="3"/>
        <v>-118.60431671142578</v>
      </c>
      <c r="L32" s="2">
        <f t="shared" si="4"/>
        <v>118.60431671142578</v>
      </c>
      <c r="M32" s="5">
        <f t="shared" si="5"/>
        <v>14066.983942584193</v>
      </c>
    </row>
    <row r="33" spans="1:13">
      <c r="B33" s="6" t="s">
        <v>9</v>
      </c>
      <c r="C33" s="7">
        <v>1639</v>
      </c>
      <c r="D33" s="10"/>
      <c r="E33" s="5">
        <f t="shared" si="6"/>
        <v>1474.7630702980669</v>
      </c>
      <c r="F33" s="2">
        <f t="shared" si="0"/>
        <v>-164.23692970193315</v>
      </c>
      <c r="G33" s="2">
        <f t="shared" si="1"/>
        <v>164.23692970193315</v>
      </c>
      <c r="H33" s="5">
        <f t="shared" si="2"/>
        <v>26973.769077917732</v>
      </c>
      <c r="I33" s="2"/>
      <c r="J33" s="2">
        <f t="shared" si="7"/>
        <v>1831.6978416442871</v>
      </c>
      <c r="K33" s="2">
        <f t="shared" si="3"/>
        <v>192.69784164428711</v>
      </c>
      <c r="L33" s="2">
        <f t="shared" si="4"/>
        <v>192.69784164428711</v>
      </c>
      <c r="M33" s="5">
        <f t="shared" si="5"/>
        <v>37132.458174366751</v>
      </c>
    </row>
    <row r="34" spans="1:13">
      <c r="B34" s="6" t="s">
        <v>10</v>
      </c>
      <c r="C34" s="7">
        <v>1504</v>
      </c>
      <c r="D34" s="10"/>
      <c r="E34" s="5">
        <f t="shared" si="6"/>
        <v>1491.1867632682604</v>
      </c>
      <c r="F34" s="2">
        <f t="shared" si="0"/>
        <v>-12.813236731739607</v>
      </c>
      <c r="G34" s="2">
        <f t="shared" si="1"/>
        <v>12.813236731739607</v>
      </c>
      <c r="H34" s="5">
        <f t="shared" si="2"/>
        <v>164.17903554360109</v>
      </c>
      <c r="I34" s="2"/>
      <c r="J34" s="2">
        <f t="shared" si="7"/>
        <v>1735.3489208221436</v>
      </c>
      <c r="K34" s="2">
        <f t="shared" si="3"/>
        <v>231.34892082214355</v>
      </c>
      <c r="L34" s="2">
        <f t="shared" si="4"/>
        <v>231.34892082214355</v>
      </c>
      <c r="M34" s="5">
        <f t="shared" si="5"/>
        <v>53522.323165570444</v>
      </c>
    </row>
    <row r="35" spans="1:13">
      <c r="B35" s="6" t="s">
        <v>11</v>
      </c>
      <c r="C35" s="7">
        <v>1271</v>
      </c>
      <c r="D35" s="10"/>
      <c r="E35" s="5">
        <f t="shared" si="6"/>
        <v>1492.4680869414344</v>
      </c>
      <c r="F35" s="2">
        <f t="shared" si="0"/>
        <v>221.46808694143442</v>
      </c>
      <c r="G35" s="2">
        <f t="shared" si="1"/>
        <v>221.46808694143442</v>
      </c>
      <c r="H35" s="5">
        <f t="shared" si="2"/>
        <v>49048.113533498756</v>
      </c>
      <c r="I35" s="2"/>
      <c r="J35" s="2">
        <f t="shared" si="7"/>
        <v>1619.6744604110718</v>
      </c>
      <c r="K35" s="2">
        <f t="shared" si="3"/>
        <v>348.67446041107178</v>
      </c>
      <c r="L35" s="2">
        <f t="shared" si="4"/>
        <v>348.67446041107178</v>
      </c>
      <c r="M35" s="5">
        <f t="shared" si="5"/>
        <v>121573.87934295206</v>
      </c>
    </row>
    <row r="36" spans="1:13">
      <c r="B36" s="6" t="s">
        <v>12</v>
      </c>
      <c r="C36" s="7">
        <v>1786</v>
      </c>
      <c r="D36" s="10"/>
      <c r="E36" s="5">
        <f t="shared" si="6"/>
        <v>1470.3212782472908</v>
      </c>
      <c r="F36" s="2">
        <f t="shared" si="0"/>
        <v>-315.67872175270918</v>
      </c>
      <c r="G36" s="2">
        <f t="shared" si="1"/>
        <v>315.67872175270918</v>
      </c>
      <c r="H36" s="5">
        <f t="shared" si="2"/>
        <v>99653.055367424386</v>
      </c>
      <c r="I36" s="2"/>
      <c r="J36" s="2">
        <f t="shared" si="7"/>
        <v>1445.3372302055359</v>
      </c>
      <c r="K36" s="2">
        <f t="shared" si="3"/>
        <v>-340.66276979446411</v>
      </c>
      <c r="L36" s="2">
        <f t="shared" si="4"/>
        <v>340.66276979446411</v>
      </c>
      <c r="M36" s="5">
        <f t="shared" si="5"/>
        <v>116051.12272403605</v>
      </c>
    </row>
    <row r="37" spans="1:13">
      <c r="B37" s="6" t="s">
        <v>13</v>
      </c>
      <c r="C37" s="7">
        <v>1941</v>
      </c>
      <c r="D37" s="10"/>
      <c r="E37" s="5">
        <f t="shared" si="6"/>
        <v>1501.8891504225617</v>
      </c>
      <c r="F37" s="2">
        <f t="shared" si="0"/>
        <v>-439.11084957743833</v>
      </c>
      <c r="G37" s="2">
        <f t="shared" si="1"/>
        <v>439.11084957743833</v>
      </c>
      <c r="H37" s="5">
        <f t="shared" si="2"/>
        <v>192818.33821661968</v>
      </c>
      <c r="I37" s="2"/>
      <c r="J37" s="2">
        <f t="shared" si="7"/>
        <v>1615.6686151027679</v>
      </c>
      <c r="K37" s="2">
        <f t="shared" si="3"/>
        <v>-325.33138489723206</v>
      </c>
      <c r="L37" s="2">
        <f t="shared" si="4"/>
        <v>325.33138489723206</v>
      </c>
      <c r="M37" s="5">
        <f t="shared" si="5"/>
        <v>105840.50999915095</v>
      </c>
    </row>
    <row r="38" spans="1:13">
      <c r="B38" s="6" t="s">
        <v>14</v>
      </c>
      <c r="C38" s="7">
        <v>1606</v>
      </c>
      <c r="D38" s="10"/>
      <c r="E38" s="5">
        <f t="shared" si="6"/>
        <v>1545.8002353803054</v>
      </c>
      <c r="F38" s="2">
        <f t="shared" si="0"/>
        <v>-60.199764619694633</v>
      </c>
      <c r="G38" s="2">
        <f t="shared" si="1"/>
        <v>60.199764619694633</v>
      </c>
      <c r="H38" s="5">
        <f t="shared" si="2"/>
        <v>3624.0116602666376</v>
      </c>
      <c r="I38" s="2"/>
      <c r="J38" s="2">
        <f t="shared" si="7"/>
        <v>1778.334307551384</v>
      </c>
      <c r="K38" s="2">
        <f t="shared" si="3"/>
        <v>172.33430755138397</v>
      </c>
      <c r="L38" s="2">
        <f t="shared" si="4"/>
        <v>172.33430755138397</v>
      </c>
      <c r="M38" s="5">
        <f t="shared" si="5"/>
        <v>29699.113559214999</v>
      </c>
    </row>
    <row r="39" spans="1:13">
      <c r="B39" s="6" t="s">
        <v>15</v>
      </c>
      <c r="C39" s="7">
        <v>1389</v>
      </c>
      <c r="D39" s="10"/>
      <c r="E39" s="5">
        <f t="shared" si="6"/>
        <v>1551.8202118422751</v>
      </c>
      <c r="F39" s="2">
        <f t="shared" si="0"/>
        <v>162.82021184227506</v>
      </c>
      <c r="G39" s="2">
        <f t="shared" si="1"/>
        <v>162.82021184227506</v>
      </c>
      <c r="H39" s="5">
        <f t="shared" si="2"/>
        <v>26510.421384363326</v>
      </c>
      <c r="I39" s="2"/>
      <c r="J39" s="2">
        <f t="shared" si="7"/>
        <v>1692.167153775692</v>
      </c>
      <c r="K39" s="2">
        <f t="shared" si="3"/>
        <v>303.16715377569199</v>
      </c>
      <c r="L39" s="2">
        <f t="shared" si="4"/>
        <v>303.16715377569199</v>
      </c>
      <c r="M39" s="5">
        <f t="shared" si="5"/>
        <v>91910.323128454067</v>
      </c>
    </row>
    <row r="40" spans="1:13">
      <c r="C40" s="5"/>
      <c r="D40" s="10"/>
      <c r="E40" s="8" t="s">
        <v>21</v>
      </c>
      <c r="F40" s="9" t="s">
        <v>51</v>
      </c>
      <c r="G40" s="9" t="s">
        <v>52</v>
      </c>
      <c r="H40" s="9" t="s">
        <v>55</v>
      </c>
      <c r="I40" s="9"/>
      <c r="J40" s="9" t="s">
        <v>22</v>
      </c>
      <c r="K40" s="9" t="s">
        <v>51</v>
      </c>
      <c r="L40" s="9" t="s">
        <v>52</v>
      </c>
      <c r="M40" s="9" t="s">
        <v>55</v>
      </c>
    </row>
    <row r="41" spans="1:13" s="13" customFormat="1">
      <c r="A41" s="13" t="s">
        <v>19</v>
      </c>
      <c r="C41" s="14">
        <f>AVERAGE(C16:C39)</f>
        <v>1504.6666666666667</v>
      </c>
      <c r="D41" s="15"/>
      <c r="E41" s="14"/>
      <c r="F41" s="16">
        <f>SUM(F16:F39)/24</f>
        <v>-160.26591277418629</v>
      </c>
      <c r="G41" s="16">
        <f>SUM(G16:G39)/24</f>
        <v>260.36346032059311</v>
      </c>
      <c r="H41" s="14">
        <f>SQRT(SUM(H16:H39)/24)</f>
        <v>305.47539222183013</v>
      </c>
      <c r="I41" s="16"/>
      <c r="J41" s="16"/>
      <c r="K41" s="16">
        <f>SUM(K16:K39)/24</f>
        <v>-38.840298073987164</v>
      </c>
      <c r="L41" s="16">
        <f>SUM(L16:L39)/24</f>
        <v>258.35430797189474</v>
      </c>
      <c r="M41" s="14">
        <f>SQRT(SUM(M16:M39)/24)</f>
        <v>284.91674372027182</v>
      </c>
    </row>
    <row r="42" spans="1:13">
      <c r="K42" s="2"/>
    </row>
    <row r="43" spans="1:13">
      <c r="K43" s="2"/>
    </row>
    <row r="44" spans="1:13">
      <c r="K44" s="2"/>
    </row>
    <row r="45" spans="1:13">
      <c r="K45" s="2"/>
    </row>
    <row r="46" spans="1:13">
      <c r="K46" s="2"/>
    </row>
    <row r="47" spans="1:13">
      <c r="K47" s="2"/>
    </row>
    <row r="48" spans="1:13">
      <c r="K48" s="2"/>
    </row>
    <row r="49" spans="11:11">
      <c r="K49" s="2"/>
    </row>
    <row r="50" spans="11:11">
      <c r="K50" s="2"/>
    </row>
    <row r="51" spans="11:11">
      <c r="K51" s="2"/>
    </row>
    <row r="52" spans="11:11">
      <c r="K52" s="2"/>
    </row>
    <row r="53" spans="11:11">
      <c r="K53" s="2"/>
    </row>
    <row r="54" spans="11:11">
      <c r="K54" s="2"/>
    </row>
    <row r="55" spans="11:11">
      <c r="K55" s="2"/>
    </row>
    <row r="56" spans="11:11">
      <c r="K56" s="2"/>
    </row>
    <row r="57" spans="11:11">
      <c r="K57" s="2"/>
    </row>
    <row r="58" spans="11:11">
      <c r="K58" s="2"/>
    </row>
    <row r="59" spans="11:11">
      <c r="K59" s="2"/>
    </row>
    <row r="60" spans="11:11">
      <c r="K60" s="2"/>
    </row>
    <row r="61" spans="11:11">
      <c r="K61" s="2"/>
    </row>
    <row r="62" spans="11:11">
      <c r="K62" s="2"/>
    </row>
    <row r="63" spans="11:11">
      <c r="K63" s="2"/>
    </row>
    <row r="64" spans="11:11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  <row r="88" spans="11:11">
      <c r="K88" s="2"/>
    </row>
    <row r="89" spans="11:11">
      <c r="K89" s="2"/>
    </row>
    <row r="90" spans="11:11">
      <c r="K90" s="2"/>
    </row>
    <row r="91" spans="11:11">
      <c r="K91" s="2"/>
    </row>
    <row r="92" spans="11:11">
      <c r="K92" s="2"/>
    </row>
    <row r="93" spans="11:11">
      <c r="K93" s="2"/>
    </row>
    <row r="94" spans="11:11">
      <c r="K94" s="2"/>
    </row>
    <row r="95" spans="11:11">
      <c r="K95" s="2"/>
    </row>
    <row r="96" spans="11:11">
      <c r="K96" s="2"/>
    </row>
    <row r="97" spans="11:11">
      <c r="K97" s="2"/>
    </row>
    <row r="98" spans="11:11">
      <c r="K98" s="2"/>
    </row>
    <row r="99" spans="11:11">
      <c r="K99" s="2"/>
    </row>
    <row r="100" spans="11:11">
      <c r="K100" s="2"/>
    </row>
    <row r="101" spans="11:11">
      <c r="K101" s="2"/>
    </row>
    <row r="102" spans="11:11">
      <c r="K102" s="2"/>
    </row>
    <row r="103" spans="11:11">
      <c r="K103" s="2"/>
    </row>
    <row r="104" spans="11:11">
      <c r="K104" s="2"/>
    </row>
    <row r="105" spans="11:11">
      <c r="K105" s="2"/>
    </row>
    <row r="106" spans="11:11">
      <c r="K106" s="2"/>
    </row>
    <row r="107" spans="11:11">
      <c r="K107" s="2"/>
    </row>
    <row r="108" spans="11:11">
      <c r="K108" s="2"/>
    </row>
    <row r="109" spans="11:11">
      <c r="K109" s="2"/>
    </row>
    <row r="110" spans="11:11">
      <c r="K110" s="2"/>
    </row>
    <row r="111" spans="11:11">
      <c r="K111" s="2"/>
    </row>
    <row r="112" spans="11:11">
      <c r="K112" s="2"/>
    </row>
    <row r="113" spans="11:11">
      <c r="K113" s="2"/>
    </row>
    <row r="114" spans="11:11">
      <c r="K114" s="2"/>
    </row>
    <row r="115" spans="11:11">
      <c r="K115" s="2"/>
    </row>
    <row r="116" spans="11:11">
      <c r="K116" s="2"/>
    </row>
    <row r="117" spans="11:11">
      <c r="K117" s="2"/>
    </row>
    <row r="118" spans="11:11">
      <c r="K118" s="2"/>
    </row>
    <row r="119" spans="11:11">
      <c r="K119" s="2"/>
    </row>
    <row r="120" spans="11:11">
      <c r="K120" s="2"/>
    </row>
    <row r="121" spans="11:11">
      <c r="K121" s="2"/>
    </row>
    <row r="122" spans="11:11">
      <c r="K122" s="2"/>
    </row>
    <row r="123" spans="11:11">
      <c r="K123" s="2"/>
    </row>
    <row r="124" spans="11:11">
      <c r="K124" s="2"/>
    </row>
    <row r="125" spans="11:11">
      <c r="K125" s="2"/>
    </row>
    <row r="126" spans="11:11">
      <c r="K126" s="2"/>
    </row>
    <row r="127" spans="11:11">
      <c r="K127" s="2"/>
    </row>
    <row r="128" spans="11:11">
      <c r="K128" s="2"/>
    </row>
    <row r="129" spans="11:11">
      <c r="K129" s="2"/>
    </row>
    <row r="130" spans="11:11">
      <c r="K130" s="2"/>
    </row>
    <row r="131" spans="11:11">
      <c r="K131" s="2"/>
    </row>
    <row r="132" spans="11:11">
      <c r="K132" s="2"/>
    </row>
    <row r="133" spans="11:11">
      <c r="K133" s="2"/>
    </row>
    <row r="134" spans="11:11">
      <c r="K134" s="2"/>
    </row>
    <row r="135" spans="11:11">
      <c r="K135" s="2"/>
    </row>
    <row r="136" spans="11:11">
      <c r="K136" s="2"/>
    </row>
    <row r="137" spans="11:11">
      <c r="K137" s="2"/>
    </row>
    <row r="138" spans="11:11">
      <c r="K138" s="2"/>
    </row>
    <row r="139" spans="11:11">
      <c r="K139" s="2"/>
    </row>
    <row r="140" spans="11:11">
      <c r="K140" s="2"/>
    </row>
    <row r="141" spans="11:11">
      <c r="K141" s="2"/>
    </row>
    <row r="142" spans="11:11">
      <c r="K142" s="2"/>
    </row>
    <row r="143" spans="11:11">
      <c r="K143" s="2"/>
    </row>
    <row r="144" spans="11:11">
      <c r="K144" s="2"/>
    </row>
    <row r="145" spans="11:11">
      <c r="K145" s="2"/>
    </row>
    <row r="146" spans="11:11">
      <c r="K146" s="2"/>
    </row>
    <row r="147" spans="11:11">
      <c r="K147" s="2"/>
    </row>
    <row r="148" spans="11:11">
      <c r="K148" s="2"/>
    </row>
    <row r="149" spans="11:11">
      <c r="K149" s="2"/>
    </row>
    <row r="150" spans="11:11">
      <c r="K150" s="2"/>
    </row>
    <row r="151" spans="11:11">
      <c r="K151" s="2"/>
    </row>
    <row r="152" spans="11:11">
      <c r="K152" s="2"/>
    </row>
    <row r="153" spans="11:11">
      <c r="K153" s="2"/>
    </row>
    <row r="154" spans="11:11">
      <c r="K154" s="2"/>
    </row>
    <row r="155" spans="11:11">
      <c r="K155" s="2"/>
    </row>
    <row r="156" spans="11:11">
      <c r="K156" s="2"/>
    </row>
    <row r="157" spans="11:11">
      <c r="K157" s="2"/>
    </row>
    <row r="158" spans="11:11">
      <c r="K158" s="2"/>
    </row>
    <row r="159" spans="11:11">
      <c r="K159" s="2"/>
    </row>
    <row r="160" spans="11:11">
      <c r="K160" s="2"/>
    </row>
    <row r="161" spans="11:11">
      <c r="K161" s="2"/>
    </row>
    <row r="162" spans="11:11">
      <c r="K162" s="2"/>
    </row>
    <row r="163" spans="11:11">
      <c r="K163" s="2"/>
    </row>
    <row r="164" spans="11:11">
      <c r="K164" s="2"/>
    </row>
    <row r="165" spans="11:11">
      <c r="K165" s="2"/>
    </row>
    <row r="166" spans="11:11">
      <c r="K166" s="2"/>
    </row>
    <row r="167" spans="11:11">
      <c r="K167" s="2"/>
    </row>
    <row r="168" spans="11:11">
      <c r="K168" s="2"/>
    </row>
    <row r="169" spans="11:11">
      <c r="K169" s="2"/>
    </row>
    <row r="170" spans="11:11">
      <c r="K170" s="2"/>
    </row>
    <row r="171" spans="11:11">
      <c r="K171" s="2"/>
    </row>
    <row r="172" spans="11:11">
      <c r="K172" s="2"/>
    </row>
    <row r="173" spans="11:11">
      <c r="K173" s="2"/>
    </row>
    <row r="174" spans="11:11">
      <c r="K174" s="2"/>
    </row>
    <row r="175" spans="11:11">
      <c r="K175" s="2"/>
    </row>
    <row r="176" spans="11:11">
      <c r="K176" s="2"/>
    </row>
    <row r="177" spans="11:11">
      <c r="K177" s="2"/>
    </row>
    <row r="178" spans="11:11">
      <c r="K178" s="2"/>
    </row>
    <row r="179" spans="11:11">
      <c r="K179" s="2"/>
    </row>
    <row r="180" spans="11:11">
      <c r="K180" s="2"/>
    </row>
    <row r="181" spans="11:11">
      <c r="K181" s="2"/>
    </row>
    <row r="182" spans="11:11">
      <c r="K182" s="2"/>
    </row>
    <row r="183" spans="11:11">
      <c r="K183" s="2"/>
    </row>
    <row r="184" spans="11:11">
      <c r="K184" s="2"/>
    </row>
    <row r="185" spans="11:11">
      <c r="K185" s="2"/>
    </row>
    <row r="186" spans="11:11">
      <c r="K186" s="2"/>
    </row>
    <row r="187" spans="11:11">
      <c r="K187" s="2"/>
    </row>
    <row r="188" spans="11:11">
      <c r="K188" s="2"/>
    </row>
    <row r="189" spans="11:11">
      <c r="K189" s="2"/>
    </row>
    <row r="190" spans="11:11">
      <c r="K190" s="2"/>
    </row>
    <row r="191" spans="11:11">
      <c r="K191" s="2"/>
    </row>
    <row r="192" spans="11:11">
      <c r="K192" s="2"/>
    </row>
    <row r="193" spans="11:11">
      <c r="K193" s="2"/>
    </row>
    <row r="194" spans="11:11">
      <c r="K194" s="2"/>
    </row>
    <row r="195" spans="11:11">
      <c r="K195" s="2"/>
    </row>
    <row r="196" spans="11:11">
      <c r="K196" s="2"/>
    </row>
    <row r="197" spans="11:11">
      <c r="K197" s="2"/>
    </row>
    <row r="198" spans="11:11">
      <c r="K198" s="2"/>
    </row>
    <row r="199" spans="11:11">
      <c r="K199" s="2"/>
    </row>
    <row r="200" spans="11:11">
      <c r="K200" s="2"/>
    </row>
    <row r="201" spans="11:11">
      <c r="K201" s="2"/>
    </row>
    <row r="202" spans="11:11">
      <c r="K202" s="2"/>
    </row>
    <row r="203" spans="11:11">
      <c r="K203" s="2"/>
    </row>
    <row r="204" spans="11:11">
      <c r="K204" s="2"/>
    </row>
    <row r="205" spans="11:11">
      <c r="K205" s="2"/>
    </row>
    <row r="206" spans="11:11">
      <c r="K206" s="2"/>
    </row>
    <row r="207" spans="11:11">
      <c r="K207" s="2"/>
    </row>
    <row r="208" spans="11:11">
      <c r="K208" s="2"/>
    </row>
    <row r="209" spans="11:11">
      <c r="K209" s="2"/>
    </row>
    <row r="210" spans="11:11">
      <c r="K210" s="2"/>
    </row>
    <row r="211" spans="11:11">
      <c r="K211" s="2"/>
    </row>
    <row r="212" spans="11:11">
      <c r="K212" s="2"/>
    </row>
    <row r="213" spans="11:11">
      <c r="K213" s="2"/>
    </row>
    <row r="214" spans="11:11">
      <c r="K214" s="2"/>
    </row>
    <row r="215" spans="11:11">
      <c r="K215" s="2"/>
    </row>
    <row r="216" spans="11:11">
      <c r="K216" s="2"/>
    </row>
    <row r="217" spans="11:11">
      <c r="K217" s="2"/>
    </row>
    <row r="218" spans="11:11">
      <c r="K218" s="2"/>
    </row>
    <row r="219" spans="11:11">
      <c r="K219" s="2"/>
    </row>
    <row r="220" spans="11:11">
      <c r="K220" s="2"/>
    </row>
    <row r="221" spans="11:11">
      <c r="K221" s="2"/>
    </row>
    <row r="222" spans="11:11">
      <c r="K222" s="2"/>
    </row>
    <row r="223" spans="11:11">
      <c r="K223" s="2"/>
    </row>
    <row r="224" spans="11:11">
      <c r="K224" s="2"/>
    </row>
    <row r="225" spans="11:11">
      <c r="K225" s="2"/>
    </row>
    <row r="226" spans="11:11">
      <c r="K226" s="2"/>
    </row>
    <row r="227" spans="11:11">
      <c r="K227" s="2"/>
    </row>
    <row r="228" spans="11:11">
      <c r="K228" s="2"/>
    </row>
    <row r="229" spans="11:11">
      <c r="K229" s="2"/>
    </row>
    <row r="230" spans="11:11">
      <c r="K230" s="2"/>
    </row>
    <row r="231" spans="11:11">
      <c r="K231" s="2"/>
    </row>
    <row r="232" spans="11:11">
      <c r="K232" s="2"/>
    </row>
    <row r="233" spans="11:11">
      <c r="K233" s="2"/>
    </row>
    <row r="234" spans="11:11">
      <c r="K234" s="2"/>
    </row>
    <row r="235" spans="11:11">
      <c r="K235" s="2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1"/>
  <sheetViews>
    <sheetView topLeftCell="A10" workbookViewId="0">
      <selection activeCell="K16" sqref="K16"/>
    </sheetView>
  </sheetViews>
  <sheetFormatPr baseColWidth="10" defaultRowHeight="12.75"/>
  <cols>
    <col min="1" max="1" width="11.5703125" style="1" customWidth="1"/>
    <col min="3" max="3" width="11.5703125" style="3" customWidth="1"/>
    <col min="4" max="4" width="2.85546875" style="11" customWidth="1"/>
    <col min="5" max="5" width="8.7109375" style="5" customWidth="1"/>
    <col min="6" max="8" width="8.7109375" customWidth="1"/>
    <col min="9" max="9" width="2.28515625" customWidth="1"/>
    <col min="10" max="10" width="8.7109375" style="5" customWidth="1"/>
    <col min="11" max="16" width="8.7109375" customWidth="1"/>
  </cols>
  <sheetData>
    <row r="1" spans="1:16" ht="15.75">
      <c r="A1" s="62" t="s">
        <v>16</v>
      </c>
      <c r="B1" s="63"/>
      <c r="D1" s="3"/>
      <c r="F1" s="4" t="s">
        <v>40</v>
      </c>
    </row>
    <row r="2" spans="1:16">
      <c r="D2" s="3"/>
    </row>
    <row r="3" spans="1:16">
      <c r="D3" s="3"/>
    </row>
    <row r="4" spans="1:16">
      <c r="A4" s="1" t="s">
        <v>1</v>
      </c>
      <c r="B4" t="s">
        <v>4</v>
      </c>
      <c r="C4" s="3">
        <v>892</v>
      </c>
      <c r="D4" s="3"/>
    </row>
    <row r="5" spans="1:16">
      <c r="B5" t="s">
        <v>5</v>
      </c>
      <c r="C5" s="3">
        <v>1114</v>
      </c>
      <c r="D5" s="3"/>
    </row>
    <row r="6" spans="1:16">
      <c r="B6" t="s">
        <v>6</v>
      </c>
      <c r="C6" s="3">
        <v>1280</v>
      </c>
      <c r="D6" s="3"/>
    </row>
    <row r="7" spans="1:16">
      <c r="B7" t="s">
        <v>7</v>
      </c>
      <c r="C7" s="3">
        <v>1328</v>
      </c>
      <c r="D7" s="3"/>
    </row>
    <row r="8" spans="1:16">
      <c r="B8" t="s">
        <v>8</v>
      </c>
      <c r="C8" s="3">
        <v>1253</v>
      </c>
      <c r="D8" s="3"/>
    </row>
    <row r="9" spans="1:16">
      <c r="B9" t="s">
        <v>9</v>
      </c>
      <c r="C9" s="3">
        <v>1125</v>
      </c>
      <c r="D9" s="3"/>
    </row>
    <row r="10" spans="1:16">
      <c r="B10" t="s">
        <v>10</v>
      </c>
      <c r="C10" s="3">
        <v>1197</v>
      </c>
      <c r="D10" s="3"/>
    </row>
    <row r="11" spans="1:16">
      <c r="B11" t="s">
        <v>11</v>
      </c>
      <c r="C11" s="3">
        <v>867</v>
      </c>
      <c r="D11" s="3"/>
      <c r="E11" s="42" t="s">
        <v>54</v>
      </c>
      <c r="F11" s="52">
        <v>0.3</v>
      </c>
      <c r="K11" s="43" t="s">
        <v>56</v>
      </c>
      <c r="L11" s="52">
        <v>0.05</v>
      </c>
    </row>
    <row r="12" spans="1:16">
      <c r="B12" t="s">
        <v>12</v>
      </c>
      <c r="C12" s="3">
        <v>1406</v>
      </c>
      <c r="D12" s="3"/>
    </row>
    <row r="13" spans="1:16">
      <c r="B13" t="s">
        <v>13</v>
      </c>
      <c r="C13" s="3">
        <v>1503</v>
      </c>
      <c r="D13" s="3"/>
      <c r="K13" s="43"/>
      <c r="L13" s="51"/>
    </row>
    <row r="14" spans="1:16">
      <c r="B14" t="s">
        <v>14</v>
      </c>
      <c r="C14" s="3">
        <v>1068</v>
      </c>
      <c r="D14" s="3"/>
    </row>
    <row r="15" spans="1:16">
      <c r="B15" t="s">
        <v>15</v>
      </c>
      <c r="C15" s="3">
        <v>979</v>
      </c>
      <c r="D15" s="3"/>
      <c r="E15" s="8" t="s">
        <v>24</v>
      </c>
      <c r="F15" s="9" t="s">
        <v>51</v>
      </c>
      <c r="G15" s="9" t="s">
        <v>52</v>
      </c>
      <c r="H15" s="9" t="s">
        <v>55</v>
      </c>
      <c r="I15" s="9"/>
      <c r="J15" s="8" t="s">
        <v>24</v>
      </c>
      <c r="K15" s="9" t="s">
        <v>25</v>
      </c>
      <c r="L15" s="9" t="s">
        <v>26</v>
      </c>
      <c r="M15" s="9" t="s">
        <v>27</v>
      </c>
      <c r="N15" s="9" t="s">
        <v>51</v>
      </c>
      <c r="O15" s="9" t="s">
        <v>52</v>
      </c>
      <c r="P15" s="9" t="s">
        <v>55</v>
      </c>
    </row>
    <row r="16" spans="1:16">
      <c r="A16" s="1" t="s">
        <v>2</v>
      </c>
      <c r="B16" s="6" t="s">
        <v>4</v>
      </c>
      <c r="C16" s="7">
        <v>1031</v>
      </c>
      <c r="D16" s="10"/>
      <c r="E16" s="5">
        <f>alpha*C15+(1-alpha)*(C10+C11+C12+C13+C14+C15)/6</f>
        <v>1112.7</v>
      </c>
      <c r="F16" s="5">
        <f t="shared" ref="F16:F39" si="0">E16-C16</f>
        <v>81.700000000000045</v>
      </c>
      <c r="G16" s="5">
        <f t="shared" ref="G16:G39" si="1">ABS(E16-C16)</f>
        <v>81.700000000000045</v>
      </c>
      <c r="H16" s="5">
        <f>(E16-C16)^2</f>
        <v>6674.8900000000076</v>
      </c>
      <c r="I16" s="2"/>
      <c r="J16" s="5">
        <f>alpha*C15+(1-alpha)*(C10+C11+C12+C13+C14+C15)/6</f>
        <v>1112.7</v>
      </c>
      <c r="K16" s="5">
        <v>5</v>
      </c>
      <c r="L16" s="5">
        <f>K16</f>
        <v>5</v>
      </c>
      <c r="M16" s="5">
        <f>J16+L16</f>
        <v>1117.7</v>
      </c>
      <c r="N16" s="5">
        <f t="shared" ref="N16:N39" si="2">M16-C16</f>
        <v>86.700000000000045</v>
      </c>
      <c r="O16" s="5">
        <f t="shared" ref="O16:O39" si="3">ABS(M16-C16)</f>
        <v>86.700000000000045</v>
      </c>
      <c r="P16" s="5">
        <f>(M16-C16)^2</f>
        <v>7516.8900000000076</v>
      </c>
    </row>
    <row r="17" spans="1:16">
      <c r="B17" s="6" t="s">
        <v>5</v>
      </c>
      <c r="C17" s="7">
        <v>1353</v>
      </c>
      <c r="D17" s="10"/>
      <c r="E17" s="5">
        <f>alpha*C16+(1-alpha)*E16</f>
        <v>1088.19</v>
      </c>
      <c r="F17" s="5">
        <f t="shared" si="0"/>
        <v>-264.80999999999995</v>
      </c>
      <c r="G17" s="5">
        <f t="shared" si="1"/>
        <v>264.80999999999995</v>
      </c>
      <c r="H17" s="5">
        <f t="shared" ref="H17:H39" si="4">(E17-C17)^2</f>
        <v>70124.336099999971</v>
      </c>
      <c r="I17" s="2"/>
      <c r="J17" s="5">
        <f>alpha*C16+(1-alpha)*M16</f>
        <v>1091.69</v>
      </c>
      <c r="K17" s="5">
        <f t="shared" ref="K17:K39" si="5">J17-J16</f>
        <v>-21.009999999999991</v>
      </c>
      <c r="L17" s="5">
        <f>beta*K17+(1-beta)*L16</f>
        <v>3.6995000000000005</v>
      </c>
      <c r="M17" s="5">
        <f t="shared" ref="M17:M39" si="6">J17+L17</f>
        <v>1095.3895</v>
      </c>
      <c r="N17" s="5">
        <f t="shared" si="2"/>
        <v>-257.6105</v>
      </c>
      <c r="O17" s="5">
        <f t="shared" si="3"/>
        <v>257.6105</v>
      </c>
      <c r="P17" s="5">
        <f t="shared" ref="P17:P39" si="7">(M17-C17)^2</f>
        <v>66363.169710250004</v>
      </c>
    </row>
    <row r="18" spans="1:16">
      <c r="B18" s="6" t="s">
        <v>6</v>
      </c>
      <c r="C18" s="7">
        <v>1512</v>
      </c>
      <c r="D18" s="10"/>
      <c r="E18" s="5">
        <f t="shared" ref="E18:E39" si="8">alpha*C17+(1-alpha)*E17</f>
        <v>1167.6329999999998</v>
      </c>
      <c r="F18" s="5">
        <f t="shared" si="0"/>
        <v>-344.36700000000019</v>
      </c>
      <c r="G18" s="5">
        <f t="shared" si="1"/>
        <v>344.36700000000019</v>
      </c>
      <c r="H18" s="5">
        <f t="shared" si="4"/>
        <v>118588.63068900013</v>
      </c>
      <c r="I18" s="2"/>
      <c r="J18" s="5">
        <f t="shared" ref="J18:J39" si="9">alpha*C17+(1-alpha)*M17</f>
        <v>1172.67265</v>
      </c>
      <c r="K18" s="5">
        <f t="shared" si="5"/>
        <v>80.982649999999921</v>
      </c>
      <c r="L18" s="5">
        <f t="shared" ref="L18:L39" si="10">beta*K18+(1-beta)*L17</f>
        <v>7.5636574999999961</v>
      </c>
      <c r="M18" s="5">
        <f t="shared" si="6"/>
        <v>1180.2363075000001</v>
      </c>
      <c r="N18" s="5">
        <f t="shared" si="2"/>
        <v>-331.76369249999993</v>
      </c>
      <c r="O18" s="5">
        <f t="shared" si="3"/>
        <v>331.76369249999993</v>
      </c>
      <c r="P18" s="5">
        <f t="shared" si="7"/>
        <v>110067.14766123451</v>
      </c>
    </row>
    <row r="19" spans="1:16">
      <c r="B19" s="6" t="s">
        <v>7</v>
      </c>
      <c r="C19" s="7">
        <v>1670</v>
      </c>
      <c r="D19" s="10"/>
      <c r="E19" s="5">
        <f t="shared" si="8"/>
        <v>1270.9430999999997</v>
      </c>
      <c r="F19" s="5">
        <f t="shared" si="0"/>
        <v>-399.05690000000027</v>
      </c>
      <c r="G19" s="5">
        <f t="shared" si="1"/>
        <v>399.05690000000027</v>
      </c>
      <c r="H19" s="5">
        <f t="shared" si="4"/>
        <v>159246.40943761021</v>
      </c>
      <c r="I19" s="2"/>
      <c r="J19" s="5">
        <f t="shared" si="9"/>
        <v>1279.7654152499999</v>
      </c>
      <c r="K19" s="5">
        <f t="shared" si="5"/>
        <v>107.09276524999996</v>
      </c>
      <c r="L19" s="5">
        <f t="shared" si="10"/>
        <v>12.540112887499994</v>
      </c>
      <c r="M19" s="5">
        <f t="shared" si="6"/>
        <v>1292.3055281375</v>
      </c>
      <c r="N19" s="5">
        <f t="shared" si="2"/>
        <v>-377.6944718625</v>
      </c>
      <c r="O19" s="5">
        <f t="shared" si="3"/>
        <v>377.6944718625</v>
      </c>
      <c r="P19" s="5">
        <f t="shared" si="7"/>
        <v>142653.11407549281</v>
      </c>
    </row>
    <row r="20" spans="1:16">
      <c r="B20" s="6" t="s">
        <v>8</v>
      </c>
      <c r="C20" s="7">
        <v>1523</v>
      </c>
      <c r="D20" s="10"/>
      <c r="E20" s="5">
        <f t="shared" si="8"/>
        <v>1390.6601699999997</v>
      </c>
      <c r="F20" s="5">
        <f t="shared" si="0"/>
        <v>-132.33983000000035</v>
      </c>
      <c r="G20" s="5">
        <f t="shared" si="1"/>
        <v>132.33983000000035</v>
      </c>
      <c r="H20" s="5">
        <f t="shared" si="4"/>
        <v>17513.830604428993</v>
      </c>
      <c r="I20" s="2"/>
      <c r="J20" s="5">
        <f t="shared" si="9"/>
        <v>1405.6138696962498</v>
      </c>
      <c r="K20" s="5">
        <f t="shared" si="5"/>
        <v>125.84845444624989</v>
      </c>
      <c r="L20" s="5">
        <f t="shared" si="10"/>
        <v>18.205529965437488</v>
      </c>
      <c r="M20" s="5">
        <f t="shared" si="6"/>
        <v>1423.8193996616874</v>
      </c>
      <c r="N20" s="5">
        <f t="shared" si="2"/>
        <v>-99.180600338312615</v>
      </c>
      <c r="O20" s="5">
        <f t="shared" si="3"/>
        <v>99.180600338312615</v>
      </c>
      <c r="P20" s="5">
        <f t="shared" si="7"/>
        <v>9836.791483468096</v>
      </c>
    </row>
    <row r="21" spans="1:16">
      <c r="B21" s="6" t="s">
        <v>9</v>
      </c>
      <c r="C21" s="7">
        <v>1386</v>
      </c>
      <c r="D21" s="10"/>
      <c r="E21" s="5">
        <f t="shared" si="8"/>
        <v>1430.3621189999997</v>
      </c>
      <c r="F21" s="5">
        <f t="shared" si="0"/>
        <v>44.362118999999666</v>
      </c>
      <c r="G21" s="5">
        <f t="shared" si="1"/>
        <v>44.362118999999666</v>
      </c>
      <c r="H21" s="5">
        <f t="shared" si="4"/>
        <v>1967.9976021701314</v>
      </c>
      <c r="I21" s="2"/>
      <c r="J21" s="5">
        <f t="shared" si="9"/>
        <v>1453.573579763181</v>
      </c>
      <c r="K21" s="5">
        <f t="shared" si="5"/>
        <v>47.959710066931166</v>
      </c>
      <c r="L21" s="5">
        <f t="shared" si="10"/>
        <v>19.693238970512169</v>
      </c>
      <c r="M21" s="5">
        <f t="shared" si="6"/>
        <v>1473.2668187336931</v>
      </c>
      <c r="N21" s="5">
        <f t="shared" si="2"/>
        <v>87.266818733693071</v>
      </c>
      <c r="O21" s="5">
        <f t="shared" si="3"/>
        <v>87.266818733693071</v>
      </c>
      <c r="P21" s="5">
        <f t="shared" si="7"/>
        <v>7615.4976518992444</v>
      </c>
    </row>
    <row r="22" spans="1:16">
      <c r="B22" s="6" t="s">
        <v>10</v>
      </c>
      <c r="C22" s="7">
        <v>1351</v>
      </c>
      <c r="D22" s="10"/>
      <c r="E22" s="5">
        <f t="shared" si="8"/>
        <v>1417.0534832999997</v>
      </c>
      <c r="F22" s="5">
        <f t="shared" si="0"/>
        <v>66.053483299999698</v>
      </c>
      <c r="G22" s="5">
        <f t="shared" si="1"/>
        <v>66.053483299999698</v>
      </c>
      <c r="H22" s="5">
        <f t="shared" si="4"/>
        <v>4363.0626560633391</v>
      </c>
      <c r="I22" s="2"/>
      <c r="J22" s="5">
        <f t="shared" si="9"/>
        <v>1447.086773113585</v>
      </c>
      <c r="K22" s="5">
        <f t="shared" si="5"/>
        <v>-6.4868066495960193</v>
      </c>
      <c r="L22" s="5">
        <f t="shared" si="10"/>
        <v>18.384236689506761</v>
      </c>
      <c r="M22" s="5">
        <f t="shared" si="6"/>
        <v>1465.4710098030916</v>
      </c>
      <c r="N22" s="5">
        <f t="shared" si="2"/>
        <v>114.47100980309165</v>
      </c>
      <c r="O22" s="5">
        <f t="shared" si="3"/>
        <v>114.47100980309165</v>
      </c>
      <c r="P22" s="5">
        <f t="shared" si="7"/>
        <v>13103.612085339504</v>
      </c>
    </row>
    <row r="23" spans="1:16">
      <c r="B23" s="6" t="s">
        <v>11</v>
      </c>
      <c r="C23" s="7">
        <v>1075</v>
      </c>
      <c r="D23" s="10"/>
      <c r="E23" s="5">
        <f t="shared" si="8"/>
        <v>1397.2374383099998</v>
      </c>
      <c r="F23" s="5">
        <f t="shared" si="0"/>
        <v>322.23743830999979</v>
      </c>
      <c r="G23" s="5">
        <f t="shared" si="1"/>
        <v>322.23743830999979</v>
      </c>
      <c r="H23" s="5">
        <f t="shared" si="4"/>
        <v>103836.96664859093</v>
      </c>
      <c r="I23" s="2"/>
      <c r="J23" s="5">
        <f t="shared" si="9"/>
        <v>1431.1297068621641</v>
      </c>
      <c r="K23" s="5">
        <f t="shared" si="5"/>
        <v>-15.957066251420883</v>
      </c>
      <c r="L23" s="5">
        <f t="shared" si="10"/>
        <v>16.66717154246038</v>
      </c>
      <c r="M23" s="5">
        <f t="shared" si="6"/>
        <v>1447.7968784046245</v>
      </c>
      <c r="N23" s="5">
        <f t="shared" si="2"/>
        <v>372.79687840462452</v>
      </c>
      <c r="O23" s="5">
        <f t="shared" si="3"/>
        <v>372.79687840462452</v>
      </c>
      <c r="P23" s="5">
        <f t="shared" si="7"/>
        <v>138977.51254823239</v>
      </c>
    </row>
    <row r="24" spans="1:16">
      <c r="B24" s="6" t="s">
        <v>12</v>
      </c>
      <c r="C24" s="7">
        <v>1623</v>
      </c>
      <c r="D24" s="10"/>
      <c r="E24" s="5">
        <f t="shared" si="8"/>
        <v>1300.5662068169997</v>
      </c>
      <c r="F24" s="5">
        <f t="shared" si="0"/>
        <v>-322.43379318300026</v>
      </c>
      <c r="G24" s="5">
        <f t="shared" si="1"/>
        <v>322.43379318300026</v>
      </c>
      <c r="H24" s="5">
        <f t="shared" si="4"/>
        <v>103963.55098637778</v>
      </c>
      <c r="I24" s="2"/>
      <c r="J24" s="5">
        <f t="shared" si="9"/>
        <v>1335.957814883237</v>
      </c>
      <c r="K24" s="5">
        <f t="shared" si="5"/>
        <v>-95.171891978927079</v>
      </c>
      <c r="L24" s="5">
        <f t="shared" si="10"/>
        <v>11.075218366391006</v>
      </c>
      <c r="M24" s="5">
        <f t="shared" si="6"/>
        <v>1347.033033249628</v>
      </c>
      <c r="N24" s="5">
        <f t="shared" si="2"/>
        <v>-275.96696675037197</v>
      </c>
      <c r="O24" s="5">
        <f t="shared" si="3"/>
        <v>275.96696675037197</v>
      </c>
      <c r="P24" s="5">
        <f t="shared" si="7"/>
        <v>76157.766737400903</v>
      </c>
    </row>
    <row r="25" spans="1:16">
      <c r="B25" s="6" t="s">
        <v>13</v>
      </c>
      <c r="C25" s="7">
        <v>1756</v>
      </c>
      <c r="D25" s="10"/>
      <c r="E25" s="5">
        <f t="shared" si="8"/>
        <v>1397.2963447718998</v>
      </c>
      <c r="F25" s="5">
        <f t="shared" si="0"/>
        <v>-358.70365522810016</v>
      </c>
      <c r="G25" s="5">
        <f t="shared" si="1"/>
        <v>358.70365522810016</v>
      </c>
      <c r="H25" s="5">
        <f t="shared" si="4"/>
        <v>128668.31227399975</v>
      </c>
      <c r="I25" s="2"/>
      <c r="J25" s="5">
        <f t="shared" si="9"/>
        <v>1429.8231232747394</v>
      </c>
      <c r="K25" s="5">
        <f t="shared" si="5"/>
        <v>93.865308391502367</v>
      </c>
      <c r="L25" s="5">
        <f t="shared" si="10"/>
        <v>15.214722867646575</v>
      </c>
      <c r="M25" s="5">
        <f t="shared" si="6"/>
        <v>1445.0378461423859</v>
      </c>
      <c r="N25" s="5">
        <f t="shared" si="2"/>
        <v>-310.96215385761411</v>
      </c>
      <c r="O25" s="5">
        <f t="shared" si="3"/>
        <v>310.96215385761411</v>
      </c>
      <c r="P25" s="5">
        <f t="shared" si="7"/>
        <v>96697.461131766468</v>
      </c>
    </row>
    <row r="26" spans="1:16">
      <c r="B26" s="6" t="s">
        <v>14</v>
      </c>
      <c r="C26" s="7">
        <v>1346</v>
      </c>
      <c r="D26" s="10"/>
      <c r="E26" s="5">
        <f t="shared" si="8"/>
        <v>1504.9074413403298</v>
      </c>
      <c r="F26" s="5">
        <f t="shared" si="0"/>
        <v>158.9074413403298</v>
      </c>
      <c r="G26" s="5">
        <f t="shared" si="1"/>
        <v>158.9074413403298</v>
      </c>
      <c r="H26" s="5">
        <f t="shared" si="4"/>
        <v>25251.574913330354</v>
      </c>
      <c r="I26" s="2"/>
      <c r="J26" s="5">
        <f t="shared" si="9"/>
        <v>1538.32649229967</v>
      </c>
      <c r="K26" s="5">
        <f t="shared" si="5"/>
        <v>108.50336902493063</v>
      </c>
      <c r="L26" s="5">
        <f t="shared" si="10"/>
        <v>19.879155175510778</v>
      </c>
      <c r="M26" s="5">
        <f t="shared" si="6"/>
        <v>1558.2056474751807</v>
      </c>
      <c r="N26" s="5">
        <f t="shared" si="2"/>
        <v>212.20564747518074</v>
      </c>
      <c r="O26" s="5">
        <f t="shared" si="3"/>
        <v>212.20564747518074</v>
      </c>
      <c r="P26" s="5">
        <f t="shared" si="7"/>
        <v>45031.236820360682</v>
      </c>
    </row>
    <row r="27" spans="1:16">
      <c r="B27" s="6" t="s">
        <v>15</v>
      </c>
      <c r="C27" s="7">
        <v>1031</v>
      </c>
      <c r="D27" s="10"/>
      <c r="E27" s="5">
        <f t="shared" si="8"/>
        <v>1457.2352089382307</v>
      </c>
      <c r="F27" s="5">
        <f t="shared" si="0"/>
        <v>426.2352089382307</v>
      </c>
      <c r="G27" s="5">
        <f t="shared" si="1"/>
        <v>426.2352089382307</v>
      </c>
      <c r="H27" s="5">
        <f t="shared" si="4"/>
        <v>181676.45333861717</v>
      </c>
      <c r="I27" s="2"/>
      <c r="J27" s="5">
        <f t="shared" si="9"/>
        <v>1494.5439532326263</v>
      </c>
      <c r="K27" s="5">
        <f t="shared" si="5"/>
        <v>-43.782539067043672</v>
      </c>
      <c r="L27" s="5">
        <f t="shared" si="10"/>
        <v>16.696070463383055</v>
      </c>
      <c r="M27" s="5">
        <f t="shared" si="6"/>
        <v>1511.2400236960093</v>
      </c>
      <c r="N27" s="5">
        <f t="shared" si="2"/>
        <v>480.2400236960093</v>
      </c>
      <c r="O27" s="5">
        <f t="shared" si="3"/>
        <v>480.2400236960093</v>
      </c>
      <c r="P27" s="5">
        <f t="shared" si="7"/>
        <v>230630.48035954358</v>
      </c>
    </row>
    <row r="28" spans="1:16">
      <c r="A28" s="1" t="s">
        <v>3</v>
      </c>
      <c r="B28" s="6" t="s">
        <v>4</v>
      </c>
      <c r="C28" s="7">
        <v>1154</v>
      </c>
      <c r="D28" s="10"/>
      <c r="E28" s="5">
        <f t="shared" si="8"/>
        <v>1329.3646462567615</v>
      </c>
      <c r="F28" s="5">
        <f t="shared" si="0"/>
        <v>175.36464625676149</v>
      </c>
      <c r="G28" s="5">
        <f t="shared" si="1"/>
        <v>175.36464625676149</v>
      </c>
      <c r="H28" s="5">
        <f t="shared" si="4"/>
        <v>30752.75915675909</v>
      </c>
      <c r="I28" s="2"/>
      <c r="J28" s="5">
        <f t="shared" si="9"/>
        <v>1367.1680165872065</v>
      </c>
      <c r="K28" s="5">
        <f t="shared" si="5"/>
        <v>-127.37593664541987</v>
      </c>
      <c r="L28" s="5">
        <f t="shared" si="10"/>
        <v>9.492470107942907</v>
      </c>
      <c r="M28" s="5">
        <f t="shared" si="6"/>
        <v>1376.6604866951493</v>
      </c>
      <c r="N28" s="5">
        <f t="shared" si="2"/>
        <v>222.6604866951493</v>
      </c>
      <c r="O28" s="5">
        <f t="shared" si="3"/>
        <v>222.6604866951493</v>
      </c>
      <c r="P28" s="5">
        <f t="shared" si="7"/>
        <v>49577.69233532076</v>
      </c>
    </row>
    <row r="29" spans="1:16">
      <c r="B29" s="6" t="s">
        <v>5</v>
      </c>
      <c r="C29" s="7">
        <v>1567</v>
      </c>
      <c r="D29" s="10"/>
      <c r="E29" s="5">
        <f t="shared" si="8"/>
        <v>1276.7552523797331</v>
      </c>
      <c r="F29" s="5">
        <f t="shared" si="0"/>
        <v>-290.24474762026693</v>
      </c>
      <c r="G29" s="5">
        <f t="shared" si="1"/>
        <v>290.24474762026693</v>
      </c>
      <c r="H29" s="5">
        <f t="shared" si="4"/>
        <v>84242.013521152447</v>
      </c>
      <c r="I29" s="2"/>
      <c r="J29" s="5">
        <f t="shared" si="9"/>
        <v>1309.8623406866045</v>
      </c>
      <c r="K29" s="5">
        <f t="shared" si="5"/>
        <v>-57.305675900601955</v>
      </c>
      <c r="L29" s="5">
        <f t="shared" si="10"/>
        <v>6.1525628075156629</v>
      </c>
      <c r="M29" s="5">
        <f t="shared" si="6"/>
        <v>1316.0149034941201</v>
      </c>
      <c r="N29" s="5">
        <f t="shared" si="2"/>
        <v>-250.98509650587994</v>
      </c>
      <c r="O29" s="5">
        <f t="shared" si="3"/>
        <v>250.98509650587994</v>
      </c>
      <c r="P29" s="5">
        <f t="shared" si="7"/>
        <v>62993.518668065866</v>
      </c>
    </row>
    <row r="30" spans="1:16">
      <c r="B30" s="6" t="s">
        <v>6</v>
      </c>
      <c r="C30" s="7">
        <v>1709</v>
      </c>
      <c r="D30" s="10"/>
      <c r="E30" s="5">
        <f t="shared" si="8"/>
        <v>1363.828676665813</v>
      </c>
      <c r="F30" s="5">
        <f t="shared" si="0"/>
        <v>-345.17132333418704</v>
      </c>
      <c r="G30" s="5">
        <f t="shared" si="1"/>
        <v>345.17132333418704</v>
      </c>
      <c r="H30" s="5">
        <f t="shared" si="4"/>
        <v>119143.24245227389</v>
      </c>
      <c r="I30" s="2"/>
      <c r="J30" s="5">
        <f t="shared" si="9"/>
        <v>1391.3104324458839</v>
      </c>
      <c r="K30" s="5">
        <f t="shared" si="5"/>
        <v>81.44809175927935</v>
      </c>
      <c r="L30" s="5">
        <f t="shared" si="10"/>
        <v>9.9173392551038475</v>
      </c>
      <c r="M30" s="5">
        <f t="shared" si="6"/>
        <v>1401.2277717009877</v>
      </c>
      <c r="N30" s="5">
        <f t="shared" si="2"/>
        <v>-307.77222829901234</v>
      </c>
      <c r="O30" s="5">
        <f t="shared" si="3"/>
        <v>307.77222829901234</v>
      </c>
      <c r="P30" s="5">
        <f t="shared" si="7"/>
        <v>94723.744512139368</v>
      </c>
    </row>
    <row r="31" spans="1:16">
      <c r="B31" s="6" t="s">
        <v>7</v>
      </c>
      <c r="C31" s="7">
        <v>1998</v>
      </c>
      <c r="D31" s="10"/>
      <c r="E31" s="5">
        <f t="shared" si="8"/>
        <v>1467.3800736660689</v>
      </c>
      <c r="F31" s="5">
        <f t="shared" si="0"/>
        <v>-530.61992633393106</v>
      </c>
      <c r="G31" s="5">
        <f t="shared" si="1"/>
        <v>530.61992633393106</v>
      </c>
      <c r="H31" s="5">
        <f t="shared" si="4"/>
        <v>281557.50622262643</v>
      </c>
      <c r="I31" s="2"/>
      <c r="J31" s="5">
        <f t="shared" si="9"/>
        <v>1493.5594401906912</v>
      </c>
      <c r="K31" s="5">
        <f t="shared" si="5"/>
        <v>102.24900774480739</v>
      </c>
      <c r="L31" s="5">
        <f t="shared" si="10"/>
        <v>14.533922679589026</v>
      </c>
      <c r="M31" s="5">
        <f t="shared" si="6"/>
        <v>1508.0933628702803</v>
      </c>
      <c r="N31" s="5">
        <f t="shared" si="2"/>
        <v>-489.90663712971968</v>
      </c>
      <c r="O31" s="5">
        <f t="shared" si="3"/>
        <v>489.90663712971968</v>
      </c>
      <c r="P31" s="5">
        <f t="shared" si="7"/>
        <v>240008.51310375083</v>
      </c>
    </row>
    <row r="32" spans="1:16">
      <c r="B32" s="6" t="s">
        <v>8</v>
      </c>
      <c r="C32" s="7">
        <v>1891</v>
      </c>
      <c r="D32" s="10"/>
      <c r="E32" s="5">
        <f t="shared" si="8"/>
        <v>1626.566051566248</v>
      </c>
      <c r="F32" s="5">
        <f t="shared" si="0"/>
        <v>-264.43394843375199</v>
      </c>
      <c r="G32" s="5">
        <f t="shared" si="1"/>
        <v>264.43394843375199</v>
      </c>
      <c r="H32" s="5">
        <f t="shared" si="4"/>
        <v>69925.313084264213</v>
      </c>
      <c r="I32" s="2"/>
      <c r="J32" s="5">
        <f t="shared" si="9"/>
        <v>1655.0653540091962</v>
      </c>
      <c r="K32" s="5">
        <f t="shared" si="5"/>
        <v>161.50591381850495</v>
      </c>
      <c r="L32" s="5">
        <f t="shared" si="10"/>
        <v>21.882522236534822</v>
      </c>
      <c r="M32" s="5">
        <f t="shared" si="6"/>
        <v>1676.9478762457311</v>
      </c>
      <c r="N32" s="5">
        <f t="shared" si="2"/>
        <v>-214.05212375426891</v>
      </c>
      <c r="O32" s="5">
        <f t="shared" si="3"/>
        <v>214.05212375426891</v>
      </c>
      <c r="P32" s="5">
        <f t="shared" si="7"/>
        <v>45818.311683712847</v>
      </c>
    </row>
    <row r="33" spans="1:16">
      <c r="B33" s="6" t="s">
        <v>9</v>
      </c>
      <c r="C33" s="7">
        <v>1639</v>
      </c>
      <c r="D33" s="10"/>
      <c r="E33" s="5">
        <f t="shared" si="8"/>
        <v>1705.8962360963735</v>
      </c>
      <c r="F33" s="5">
        <f t="shared" si="0"/>
        <v>66.896236096373514</v>
      </c>
      <c r="G33" s="5">
        <f t="shared" si="1"/>
        <v>66.896236096373514</v>
      </c>
      <c r="H33" s="5">
        <f t="shared" si="4"/>
        <v>4475.1064038617469</v>
      </c>
      <c r="I33" s="2"/>
      <c r="J33" s="5">
        <f t="shared" si="9"/>
        <v>1741.1635133720117</v>
      </c>
      <c r="K33" s="5">
        <f t="shared" si="5"/>
        <v>86.098159362815522</v>
      </c>
      <c r="L33" s="5">
        <f t="shared" si="10"/>
        <v>25.093304092848854</v>
      </c>
      <c r="M33" s="5">
        <f t="shared" si="6"/>
        <v>1766.2568174648607</v>
      </c>
      <c r="N33" s="5">
        <f t="shared" si="2"/>
        <v>127.25681746486066</v>
      </c>
      <c r="O33" s="5">
        <f t="shared" si="3"/>
        <v>127.25681746486066</v>
      </c>
      <c r="P33" s="5">
        <f t="shared" si="7"/>
        <v>16194.297591284865</v>
      </c>
    </row>
    <row r="34" spans="1:16">
      <c r="B34" s="6" t="s">
        <v>10</v>
      </c>
      <c r="C34" s="7">
        <v>1504</v>
      </c>
      <c r="D34" s="10"/>
      <c r="E34" s="5">
        <f t="shared" si="8"/>
        <v>1685.8273652674613</v>
      </c>
      <c r="F34" s="5">
        <f t="shared" si="0"/>
        <v>181.82736526746135</v>
      </c>
      <c r="G34" s="5">
        <f t="shared" si="1"/>
        <v>181.82736526746135</v>
      </c>
      <c r="H34" s="5">
        <f t="shared" si="4"/>
        <v>33061.190760106809</v>
      </c>
      <c r="I34" s="2"/>
      <c r="J34" s="5">
        <f t="shared" si="9"/>
        <v>1728.0797722254024</v>
      </c>
      <c r="K34" s="5">
        <f t="shared" si="5"/>
        <v>-13.083741146609327</v>
      </c>
      <c r="L34" s="5">
        <f t="shared" si="10"/>
        <v>23.184451830875943</v>
      </c>
      <c r="M34" s="5">
        <f t="shared" si="6"/>
        <v>1751.2642240562784</v>
      </c>
      <c r="N34" s="5">
        <f t="shared" si="2"/>
        <v>247.26422405627841</v>
      </c>
      <c r="O34" s="5">
        <f t="shared" si="3"/>
        <v>247.26422405627841</v>
      </c>
      <c r="P34" s="5">
        <f t="shared" si="7"/>
        <v>61139.596498153449</v>
      </c>
    </row>
    <row r="35" spans="1:16">
      <c r="B35" s="6" t="s">
        <v>11</v>
      </c>
      <c r="C35" s="7">
        <v>1271</v>
      </c>
      <c r="D35" s="10"/>
      <c r="E35" s="5">
        <f t="shared" si="8"/>
        <v>1631.279155687223</v>
      </c>
      <c r="F35" s="5">
        <f t="shared" si="0"/>
        <v>360.27915568722301</v>
      </c>
      <c r="G35" s="5">
        <f t="shared" si="1"/>
        <v>360.27915568722301</v>
      </c>
      <c r="H35" s="5">
        <f t="shared" si="4"/>
        <v>129801.07002269827</v>
      </c>
      <c r="I35" s="2"/>
      <c r="J35" s="5">
        <f t="shared" si="9"/>
        <v>1677.0849568393949</v>
      </c>
      <c r="K35" s="5">
        <f t="shared" si="5"/>
        <v>-50.994815386007531</v>
      </c>
      <c r="L35" s="5">
        <f t="shared" si="10"/>
        <v>19.475488470031767</v>
      </c>
      <c r="M35" s="5">
        <f t="shared" si="6"/>
        <v>1696.5604453094265</v>
      </c>
      <c r="N35" s="5">
        <f t="shared" si="2"/>
        <v>425.56044530942654</v>
      </c>
      <c r="O35" s="5">
        <f t="shared" si="3"/>
        <v>425.56044530942654</v>
      </c>
      <c r="P35" s="5">
        <f t="shared" si="7"/>
        <v>181101.69261195741</v>
      </c>
    </row>
    <row r="36" spans="1:16">
      <c r="B36" s="6" t="s">
        <v>12</v>
      </c>
      <c r="C36" s="7">
        <v>1786</v>
      </c>
      <c r="D36" s="10"/>
      <c r="E36" s="5">
        <f t="shared" si="8"/>
        <v>1523.1954089810561</v>
      </c>
      <c r="F36" s="5">
        <f t="shared" si="0"/>
        <v>-262.80459101894394</v>
      </c>
      <c r="G36" s="5">
        <f t="shared" si="1"/>
        <v>262.80459101894394</v>
      </c>
      <c r="H36" s="5">
        <f t="shared" si="4"/>
        <v>69066.253060634393</v>
      </c>
      <c r="I36" s="2"/>
      <c r="J36" s="5">
        <f t="shared" si="9"/>
        <v>1568.8923117165984</v>
      </c>
      <c r="K36" s="5">
        <f t="shared" si="5"/>
        <v>-108.19264512279642</v>
      </c>
      <c r="L36" s="5">
        <f t="shared" si="10"/>
        <v>13.092081790390356</v>
      </c>
      <c r="M36" s="5">
        <f t="shared" si="6"/>
        <v>1581.9843935069889</v>
      </c>
      <c r="N36" s="5">
        <f t="shared" si="2"/>
        <v>-204.01560649301109</v>
      </c>
      <c r="O36" s="5">
        <f t="shared" si="3"/>
        <v>204.01560649301109</v>
      </c>
      <c r="P36" s="5">
        <f t="shared" si="7"/>
        <v>41622.367692711152</v>
      </c>
    </row>
    <row r="37" spans="1:16">
      <c r="B37" s="6" t="s">
        <v>13</v>
      </c>
      <c r="C37" s="7">
        <v>1941</v>
      </c>
      <c r="D37" s="10"/>
      <c r="E37" s="5">
        <f t="shared" si="8"/>
        <v>1602.0367862867392</v>
      </c>
      <c r="F37" s="5">
        <f t="shared" si="0"/>
        <v>-338.96321371326076</v>
      </c>
      <c r="G37" s="5">
        <f t="shared" si="1"/>
        <v>338.96321371326076</v>
      </c>
      <c r="H37" s="5">
        <f t="shared" si="4"/>
        <v>114896.06025082168</v>
      </c>
      <c r="I37" s="2"/>
      <c r="J37" s="5">
        <f t="shared" si="9"/>
        <v>1643.1890754548922</v>
      </c>
      <c r="K37" s="5">
        <f t="shared" si="5"/>
        <v>74.296763738293748</v>
      </c>
      <c r="L37" s="5">
        <f t="shared" si="10"/>
        <v>16.152315887785527</v>
      </c>
      <c r="M37" s="5">
        <f t="shared" si="6"/>
        <v>1659.3413913426778</v>
      </c>
      <c r="N37" s="5">
        <f t="shared" si="2"/>
        <v>-281.65860865732225</v>
      </c>
      <c r="O37" s="5">
        <f t="shared" si="3"/>
        <v>281.65860865732225</v>
      </c>
      <c r="P37" s="5">
        <f t="shared" si="7"/>
        <v>79331.571830778601</v>
      </c>
    </row>
    <row r="38" spans="1:16">
      <c r="B38" s="6" t="s">
        <v>14</v>
      </c>
      <c r="C38" s="7">
        <v>1606</v>
      </c>
      <c r="D38" s="10"/>
      <c r="E38" s="5">
        <f t="shared" si="8"/>
        <v>1703.7257504007173</v>
      </c>
      <c r="F38" s="5">
        <f t="shared" si="0"/>
        <v>97.725750400717288</v>
      </c>
      <c r="G38" s="5">
        <f t="shared" si="1"/>
        <v>97.725750400717288</v>
      </c>
      <c r="H38" s="5">
        <f t="shared" si="4"/>
        <v>9550.322291383296</v>
      </c>
      <c r="I38" s="2"/>
      <c r="J38" s="5">
        <f t="shared" si="9"/>
        <v>1743.8389739398742</v>
      </c>
      <c r="K38" s="5">
        <f t="shared" si="5"/>
        <v>100.64989848498203</v>
      </c>
      <c r="L38" s="5">
        <f t="shared" si="10"/>
        <v>20.377195017645352</v>
      </c>
      <c r="M38" s="5">
        <f t="shared" si="6"/>
        <v>1764.2161689575196</v>
      </c>
      <c r="N38" s="5">
        <f t="shared" si="2"/>
        <v>158.21616895751959</v>
      </c>
      <c r="O38" s="5">
        <f t="shared" si="3"/>
        <v>158.21616895751959</v>
      </c>
      <c r="P38" s="5">
        <f t="shared" si="7"/>
        <v>25032.356119594384</v>
      </c>
    </row>
    <row r="39" spans="1:16">
      <c r="B39" s="6" t="s">
        <v>15</v>
      </c>
      <c r="C39" s="7">
        <v>1389</v>
      </c>
      <c r="D39" s="10"/>
      <c r="E39" s="5">
        <f t="shared" si="8"/>
        <v>1674.408025280502</v>
      </c>
      <c r="F39" s="5">
        <f t="shared" si="0"/>
        <v>285.40802528050199</v>
      </c>
      <c r="G39" s="5">
        <f t="shared" si="1"/>
        <v>285.40802528050199</v>
      </c>
      <c r="H39" s="5">
        <f t="shared" si="4"/>
        <v>81457.740894515664</v>
      </c>
      <c r="I39" s="2"/>
      <c r="J39" s="5">
        <f t="shared" si="9"/>
        <v>1716.7513182702635</v>
      </c>
      <c r="K39" s="5">
        <f t="shared" si="5"/>
        <v>-27.08765566961074</v>
      </c>
      <c r="L39" s="5">
        <f t="shared" si="10"/>
        <v>18.003952483282546</v>
      </c>
      <c r="M39" s="5">
        <f t="shared" si="6"/>
        <v>1734.755270753546</v>
      </c>
      <c r="N39" s="5">
        <f t="shared" si="2"/>
        <v>345.75527075354603</v>
      </c>
      <c r="O39" s="5">
        <f t="shared" si="3"/>
        <v>345.75527075354603</v>
      </c>
      <c r="P39" s="5">
        <f t="shared" si="7"/>
        <v>119546.70725385792</v>
      </c>
    </row>
    <row r="40" spans="1:16">
      <c r="C40" s="5"/>
      <c r="D40" s="10"/>
      <c r="E40" s="8" t="s">
        <v>24</v>
      </c>
      <c r="F40" s="9" t="s">
        <v>51</v>
      </c>
      <c r="G40" s="9" t="s">
        <v>52</v>
      </c>
      <c r="H40" s="9" t="s">
        <v>55</v>
      </c>
      <c r="I40" s="9"/>
      <c r="J40" s="8" t="s">
        <v>24</v>
      </c>
      <c r="K40" s="9"/>
      <c r="L40" s="9"/>
      <c r="M40" s="9"/>
      <c r="N40" s="9" t="s">
        <v>51</v>
      </c>
      <c r="O40" s="9" t="s">
        <v>52</v>
      </c>
      <c r="P40" s="9" t="s">
        <v>55</v>
      </c>
    </row>
    <row r="41" spans="1:16" s="13" customFormat="1">
      <c r="A41" s="13" t="s">
        <v>19</v>
      </c>
      <c r="C41" s="14">
        <f>AVERAGE(C16:C39)</f>
        <v>1504.6666666666667</v>
      </c>
      <c r="D41" s="15"/>
      <c r="E41" s="14"/>
      <c r="F41" s="14">
        <f>SUM(F16:F39)/24</f>
        <v>-66.123002457826857</v>
      </c>
      <c r="G41" s="14">
        <f>SUM(G16:G39)/24</f>
        <v>255.03940828095998</v>
      </c>
      <c r="H41" s="14">
        <f>SQRT(SUM(H16:H39)/24)</f>
        <v>285.02957400441267</v>
      </c>
      <c r="I41" s="16"/>
      <c r="J41" s="14"/>
      <c r="K41" s="16"/>
      <c r="L41" s="16"/>
      <c r="M41" s="16"/>
      <c r="N41" s="14">
        <f>SUM(N16:N39)/24</f>
        <v>-21.715620616609709</v>
      </c>
      <c r="O41" s="14">
        <f>SUM(O16:O39)/24</f>
        <v>261.74843656239136</v>
      </c>
      <c r="P41" s="16">
        <f>SQRT(SUM(P16:P39)/24)</f>
        <v>285.9007002852502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1"/>
  <sheetViews>
    <sheetView workbookViewId="0">
      <selection activeCell="J28" sqref="J28"/>
    </sheetView>
  </sheetViews>
  <sheetFormatPr baseColWidth="10" defaultRowHeight="12.75"/>
  <cols>
    <col min="1" max="1" width="4.85546875" style="27" customWidth="1"/>
    <col min="3" max="3" width="11.5703125" style="3" customWidth="1"/>
    <col min="4" max="4" width="2.28515625" style="11" customWidth="1"/>
    <col min="5" max="5" width="8.7109375" style="5" customWidth="1"/>
    <col min="6" max="8" width="8.7109375" customWidth="1"/>
    <col min="9" max="9" width="2.28515625" customWidth="1"/>
    <col min="10" max="10" width="12.5703125" customWidth="1"/>
    <col min="11" max="11" width="8.7109375" style="5" customWidth="1"/>
    <col min="12" max="12" width="9.85546875" customWidth="1"/>
    <col min="13" max="17" width="8.7109375" customWidth="1"/>
  </cols>
  <sheetData>
    <row r="1" spans="1:16" ht="15.75">
      <c r="A1" s="64" t="s">
        <v>16</v>
      </c>
      <c r="B1" s="63"/>
      <c r="C1" s="65"/>
      <c r="D1" s="3"/>
      <c r="J1" s="12" t="s">
        <v>0</v>
      </c>
      <c r="K1" s="9" t="s">
        <v>44</v>
      </c>
      <c r="L1" s="9" t="s">
        <v>63</v>
      </c>
      <c r="M1" s="9" t="s">
        <v>18</v>
      </c>
      <c r="N1" s="12" t="s">
        <v>45</v>
      </c>
      <c r="O1" s="12" t="s">
        <v>18</v>
      </c>
      <c r="P1" s="49"/>
    </row>
    <row r="2" spans="1:16">
      <c r="D2" s="4" t="s">
        <v>41</v>
      </c>
      <c r="J2" s="18" t="s">
        <v>4</v>
      </c>
      <c r="K2" s="23">
        <v>892</v>
      </c>
      <c r="L2" s="23"/>
      <c r="M2" s="24">
        <f t="shared" ref="M2:M13" si="0">12*K2/$K$14</f>
        <v>0.76391664287753358</v>
      </c>
      <c r="N2" s="23">
        <f t="shared" ref="N2:N13" si="1">(C4+C16)/2</f>
        <v>961.5</v>
      </c>
      <c r="O2" s="24">
        <f t="shared" ref="O2:O13" si="2">12*N2/$N$14</f>
        <v>0.75242101144478135</v>
      </c>
      <c r="P2" s="50"/>
    </row>
    <row r="3" spans="1:16">
      <c r="D3" s="3"/>
      <c r="J3" s="18" t="s">
        <v>5</v>
      </c>
      <c r="K3" s="23">
        <v>1114</v>
      </c>
      <c r="L3" s="23"/>
      <c r="M3" s="24">
        <f t="shared" si="0"/>
        <v>0.95403939480445332</v>
      </c>
      <c r="N3" s="23">
        <f t="shared" si="1"/>
        <v>1233.5</v>
      </c>
      <c r="O3" s="24">
        <f t="shared" si="2"/>
        <v>0.96527438129707521</v>
      </c>
      <c r="P3" s="50"/>
    </row>
    <row r="4" spans="1:16">
      <c r="A4" s="27">
        <v>1993</v>
      </c>
      <c r="B4" t="s">
        <v>4</v>
      </c>
      <c r="C4" s="3">
        <v>892</v>
      </c>
      <c r="D4" s="3"/>
      <c r="J4" s="18" t="s">
        <v>6</v>
      </c>
      <c r="K4" s="23">
        <v>1280</v>
      </c>
      <c r="L4" s="23"/>
      <c r="M4" s="24">
        <f t="shared" si="0"/>
        <v>1.0962032543534113</v>
      </c>
      <c r="N4" s="23">
        <f t="shared" si="1"/>
        <v>1396</v>
      </c>
      <c r="O4" s="24">
        <f t="shared" si="2"/>
        <v>1.0924386188007433</v>
      </c>
      <c r="P4" s="50"/>
    </row>
    <row r="5" spans="1:16">
      <c r="B5" t="s">
        <v>5</v>
      </c>
      <c r="C5" s="3">
        <v>1114</v>
      </c>
      <c r="D5" s="3"/>
      <c r="J5" s="18" t="s">
        <v>7</v>
      </c>
      <c r="K5" s="23">
        <v>1328</v>
      </c>
      <c r="L5" s="23"/>
      <c r="M5" s="24">
        <f t="shared" si="0"/>
        <v>1.1373108763916644</v>
      </c>
      <c r="N5" s="23">
        <f t="shared" si="1"/>
        <v>1499</v>
      </c>
      <c r="O5" s="24">
        <f t="shared" si="2"/>
        <v>1.1730411816492223</v>
      </c>
      <c r="P5" s="50"/>
    </row>
    <row r="6" spans="1:16">
      <c r="B6" t="s">
        <v>6</v>
      </c>
      <c r="C6" s="3">
        <v>1280</v>
      </c>
      <c r="D6" s="3"/>
      <c r="J6" s="18" t="s">
        <v>8</v>
      </c>
      <c r="K6" s="23">
        <v>1253</v>
      </c>
      <c r="L6" s="23"/>
      <c r="M6" s="24">
        <f t="shared" si="0"/>
        <v>1.073080216956894</v>
      </c>
      <c r="N6" s="23">
        <f t="shared" si="1"/>
        <v>1388</v>
      </c>
      <c r="O6" s="24">
        <f t="shared" si="2"/>
        <v>1.0861782255697936</v>
      </c>
      <c r="P6" s="50"/>
    </row>
    <row r="7" spans="1:16">
      <c r="B7" t="s">
        <v>7</v>
      </c>
      <c r="C7" s="3">
        <v>1328</v>
      </c>
      <c r="D7" s="3"/>
      <c r="J7" s="18" t="s">
        <v>9</v>
      </c>
      <c r="K7" s="23">
        <v>1125</v>
      </c>
      <c r="L7" s="23"/>
      <c r="M7" s="24">
        <f t="shared" si="0"/>
        <v>0.96345989152155298</v>
      </c>
      <c r="N7" s="23">
        <f t="shared" si="1"/>
        <v>1255.5</v>
      </c>
      <c r="O7" s="24">
        <f t="shared" si="2"/>
        <v>0.9824904626821872</v>
      </c>
      <c r="P7" s="50"/>
    </row>
    <row r="8" spans="1:16">
      <c r="B8" t="s">
        <v>8</v>
      </c>
      <c r="C8" s="3">
        <v>1253</v>
      </c>
      <c r="D8" s="3"/>
      <c r="J8" s="18" t="s">
        <v>10</v>
      </c>
      <c r="K8" s="23">
        <v>1197</v>
      </c>
      <c r="L8" s="23"/>
      <c r="M8" s="24">
        <f t="shared" si="0"/>
        <v>1.0251213245789323</v>
      </c>
      <c r="N8" s="23">
        <f t="shared" si="1"/>
        <v>1274</v>
      </c>
      <c r="O8" s="24">
        <f t="shared" si="2"/>
        <v>0.99696762202875866</v>
      </c>
      <c r="P8" s="50"/>
    </row>
    <row r="9" spans="1:16">
      <c r="B9" t="s">
        <v>9</v>
      </c>
      <c r="C9" s="3">
        <v>1125</v>
      </c>
      <c r="D9" s="3"/>
      <c r="J9" s="18" t="s">
        <v>11</v>
      </c>
      <c r="K9" s="23">
        <v>867</v>
      </c>
      <c r="L9" s="23"/>
      <c r="M9" s="24">
        <f t="shared" si="0"/>
        <v>0.7425064230659435</v>
      </c>
      <c r="N9" s="23">
        <f t="shared" si="1"/>
        <v>971</v>
      </c>
      <c r="O9" s="24">
        <f t="shared" si="2"/>
        <v>0.7598552284065343</v>
      </c>
      <c r="P9" s="50"/>
    </row>
    <row r="10" spans="1:16">
      <c r="B10" t="s">
        <v>10</v>
      </c>
      <c r="C10" s="3">
        <v>1197</v>
      </c>
      <c r="D10" s="3"/>
      <c r="J10" s="18" t="s">
        <v>12</v>
      </c>
      <c r="K10" s="23">
        <v>1406</v>
      </c>
      <c r="L10" s="23"/>
      <c r="M10" s="24">
        <f t="shared" si="0"/>
        <v>1.2041107622038254</v>
      </c>
      <c r="N10" s="23">
        <f t="shared" si="1"/>
        <v>1514.5</v>
      </c>
      <c r="O10" s="24">
        <f t="shared" si="2"/>
        <v>1.1851706935341877</v>
      </c>
      <c r="P10" s="50"/>
    </row>
    <row r="11" spans="1:16">
      <c r="B11" t="s">
        <v>11</v>
      </c>
      <c r="C11" s="3">
        <v>867</v>
      </c>
      <c r="D11" s="3"/>
      <c r="J11" s="18" t="s">
        <v>13</v>
      </c>
      <c r="K11" s="23">
        <v>1503</v>
      </c>
      <c r="L11" s="23"/>
      <c r="M11" s="24">
        <f t="shared" si="0"/>
        <v>1.2871824150727948</v>
      </c>
      <c r="N11" s="23">
        <f t="shared" si="1"/>
        <v>1629.5</v>
      </c>
      <c r="O11" s="24">
        <f t="shared" si="2"/>
        <v>1.2751638462290913</v>
      </c>
      <c r="P11" s="50"/>
    </row>
    <row r="12" spans="1:16">
      <c r="B12" t="s">
        <v>12</v>
      </c>
      <c r="C12" s="3">
        <v>1406</v>
      </c>
      <c r="D12" s="3"/>
      <c r="J12" s="18" t="s">
        <v>14</v>
      </c>
      <c r="K12" s="23">
        <v>1068</v>
      </c>
      <c r="L12" s="23"/>
      <c r="M12" s="24">
        <f t="shared" si="0"/>
        <v>0.91464459035112755</v>
      </c>
      <c r="N12" s="23">
        <f t="shared" si="1"/>
        <v>1207</v>
      </c>
      <c r="O12" s="24">
        <f t="shared" si="2"/>
        <v>0.94453682871955391</v>
      </c>
      <c r="P12" s="50"/>
    </row>
    <row r="13" spans="1:16">
      <c r="B13" t="s">
        <v>13</v>
      </c>
      <c r="C13" s="3">
        <v>1503</v>
      </c>
      <c r="D13" s="3"/>
      <c r="J13" s="18" t="s">
        <v>15</v>
      </c>
      <c r="K13" s="23">
        <v>979</v>
      </c>
      <c r="L13" s="23"/>
      <c r="M13" s="24">
        <f t="shared" si="0"/>
        <v>0.838424207821867</v>
      </c>
      <c r="N13" s="23">
        <f t="shared" si="1"/>
        <v>1005</v>
      </c>
      <c r="O13" s="24">
        <f t="shared" si="2"/>
        <v>0.786461899638071</v>
      </c>
      <c r="P13" s="50"/>
    </row>
    <row r="14" spans="1:16">
      <c r="B14" t="s">
        <v>14</v>
      </c>
      <c r="C14" s="3">
        <v>1068</v>
      </c>
      <c r="D14" s="3"/>
      <c r="J14" s="18" t="s">
        <v>17</v>
      </c>
      <c r="K14" s="25">
        <f>SUM(K2:K13)</f>
        <v>14012</v>
      </c>
      <c r="L14" s="25"/>
      <c r="M14" s="23"/>
      <c r="N14" s="25">
        <f>SUM(N2:N13)</f>
        <v>15334.5</v>
      </c>
      <c r="O14" s="24"/>
      <c r="P14" s="50"/>
    </row>
    <row r="15" spans="1:16">
      <c r="B15" t="s">
        <v>15</v>
      </c>
      <c r="C15" s="3">
        <v>979</v>
      </c>
      <c r="D15" s="3"/>
      <c r="E15" s="8" t="s">
        <v>24</v>
      </c>
      <c r="F15" s="9" t="s">
        <v>51</v>
      </c>
      <c r="G15" s="9" t="s">
        <v>52</v>
      </c>
      <c r="H15" s="9" t="s">
        <v>55</v>
      </c>
      <c r="I15" s="9"/>
      <c r="J15" s="9" t="s">
        <v>28</v>
      </c>
      <c r="K15" s="8" t="s">
        <v>24</v>
      </c>
      <c r="L15" s="9" t="s">
        <v>27</v>
      </c>
      <c r="M15" s="9" t="s">
        <v>51</v>
      </c>
      <c r="N15" s="9" t="s">
        <v>52</v>
      </c>
      <c r="O15" s="9" t="s">
        <v>55</v>
      </c>
    </row>
    <row r="16" spans="1:16">
      <c r="A16" s="27">
        <v>1994</v>
      </c>
      <c r="B16" s="6" t="s">
        <v>4</v>
      </c>
      <c r="C16" s="7">
        <v>1031</v>
      </c>
      <c r="D16" s="10"/>
      <c r="E16" s="5">
        <f>0.3*C15+0.7*(C10+C11+C12+C13+C14+C15)/6</f>
        <v>1112.7</v>
      </c>
      <c r="F16" s="5">
        <f>E16-C16</f>
        <v>81.700000000000045</v>
      </c>
      <c r="G16" s="5">
        <f>ABS(E16-C16)</f>
        <v>81.700000000000045</v>
      </c>
      <c r="H16" s="5">
        <f>(E16-C16)^2</f>
        <v>6674.8900000000076</v>
      </c>
      <c r="I16" s="2"/>
      <c r="J16" s="5">
        <f t="shared" ref="J16:J27" si="3">C16/M2</f>
        <v>1349.6236920777278</v>
      </c>
      <c r="K16" s="5">
        <f>0.3*J16+0.7*SUM(C4:C15)/12</f>
        <v>1222.2537742899849</v>
      </c>
      <c r="L16" s="5">
        <f t="shared" ref="L16:L27" si="4">K16*M2</f>
        <v>933.69999999999993</v>
      </c>
      <c r="M16" s="5">
        <f t="shared" ref="M16:M39" si="5">L16-C16</f>
        <v>-97.300000000000068</v>
      </c>
      <c r="N16" s="5">
        <f t="shared" ref="N16:N39" si="6">ABS(L16-C16)</f>
        <v>97.300000000000068</v>
      </c>
      <c r="O16" s="5">
        <f>(L16-C16)^2</f>
        <v>9467.2900000000136</v>
      </c>
    </row>
    <row r="17" spans="1:15">
      <c r="B17" s="6" t="s">
        <v>5</v>
      </c>
      <c r="C17" s="7">
        <v>1353</v>
      </c>
      <c r="D17" s="10"/>
      <c r="E17" s="5">
        <f>0.3*C16+0.7*E16</f>
        <v>1088.19</v>
      </c>
      <c r="F17" s="5">
        <f t="shared" ref="F17:F39" si="7">E17-C17</f>
        <v>-264.80999999999995</v>
      </c>
      <c r="G17" s="5">
        <f t="shared" ref="G17:G39" si="8">ABS(E17-C17)</f>
        <v>264.80999999999995</v>
      </c>
      <c r="H17" s="5">
        <f t="shared" ref="H17:H39" si="9">(E17-C17)^2</f>
        <v>70124.336099999971</v>
      </c>
      <c r="I17" s="2"/>
      <c r="J17" s="5">
        <f t="shared" si="3"/>
        <v>1418.1804308797127</v>
      </c>
      <c r="K17" s="5">
        <f>0.3*J16+0.7*K16</f>
        <v>1260.4647496263078</v>
      </c>
      <c r="L17" s="5">
        <f t="shared" si="4"/>
        <v>1202.5330269058295</v>
      </c>
      <c r="M17" s="5">
        <f t="shared" si="5"/>
        <v>-150.4669730941705</v>
      </c>
      <c r="N17" s="5">
        <f t="shared" si="6"/>
        <v>150.4669730941705</v>
      </c>
      <c r="O17" s="5">
        <f t="shared" ref="O17:O39" si="10">(L17-C17)^2</f>
        <v>22640.309992121827</v>
      </c>
    </row>
    <row r="18" spans="1:15">
      <c r="B18" s="6" t="s">
        <v>6</v>
      </c>
      <c r="C18" s="7">
        <v>1512</v>
      </c>
      <c r="D18" s="10"/>
      <c r="E18" s="5">
        <f t="shared" ref="E18:E39" si="11">0.3*C17+0.7*E17</f>
        <v>1167.6329999999998</v>
      </c>
      <c r="F18" s="5">
        <f t="shared" si="7"/>
        <v>-344.36700000000019</v>
      </c>
      <c r="G18" s="5">
        <f t="shared" si="8"/>
        <v>344.36700000000019</v>
      </c>
      <c r="H18" s="5">
        <f t="shared" si="9"/>
        <v>118588.63068900013</v>
      </c>
      <c r="I18" s="2"/>
      <c r="J18" s="5">
        <f t="shared" si="3"/>
        <v>1379.3062500000001</v>
      </c>
      <c r="K18" s="5">
        <f t="shared" ref="K18:K39" si="12">0.3*J17+0.7*K17</f>
        <v>1307.7794540023292</v>
      </c>
      <c r="L18" s="5">
        <f t="shared" si="4"/>
        <v>1433.5920934538806</v>
      </c>
      <c r="M18" s="5">
        <f t="shared" si="5"/>
        <v>-78.40790654611942</v>
      </c>
      <c r="N18" s="5">
        <f t="shared" si="6"/>
        <v>78.40790654611942</v>
      </c>
      <c r="O18" s="5">
        <f t="shared" si="10"/>
        <v>6147.7998089449966</v>
      </c>
    </row>
    <row r="19" spans="1:15">
      <c r="B19" s="6" t="s">
        <v>7</v>
      </c>
      <c r="C19" s="7">
        <v>1670</v>
      </c>
      <c r="D19" s="10"/>
      <c r="E19" s="5">
        <f t="shared" si="11"/>
        <v>1270.9430999999997</v>
      </c>
      <c r="F19" s="5">
        <f t="shared" si="7"/>
        <v>-399.05690000000027</v>
      </c>
      <c r="G19" s="5">
        <f t="shared" si="8"/>
        <v>399.05690000000027</v>
      </c>
      <c r="H19" s="5">
        <f t="shared" si="9"/>
        <v>159246.40943761021</v>
      </c>
      <c r="I19" s="2"/>
      <c r="J19" s="5">
        <f t="shared" si="3"/>
        <v>1468.3760040160641</v>
      </c>
      <c r="K19" s="5">
        <f t="shared" si="12"/>
        <v>1329.2374928016304</v>
      </c>
      <c r="L19" s="5">
        <f t="shared" si="4"/>
        <v>1511.756257870881</v>
      </c>
      <c r="M19" s="5">
        <f t="shared" si="5"/>
        <v>-158.24374212911903</v>
      </c>
      <c r="N19" s="5">
        <f t="shared" si="6"/>
        <v>158.24374212911903</v>
      </c>
      <c r="O19" s="5">
        <f t="shared" si="10"/>
        <v>25041.081923027119</v>
      </c>
    </row>
    <row r="20" spans="1:15">
      <c r="B20" s="6" t="s">
        <v>8</v>
      </c>
      <c r="C20" s="7">
        <v>1523</v>
      </c>
      <c r="D20" s="10"/>
      <c r="E20" s="5">
        <f t="shared" si="11"/>
        <v>1390.6601699999997</v>
      </c>
      <c r="F20" s="5">
        <f t="shared" si="7"/>
        <v>-132.33983000000035</v>
      </c>
      <c r="G20" s="5">
        <f t="shared" si="8"/>
        <v>132.33983000000035</v>
      </c>
      <c r="H20" s="5">
        <f t="shared" si="9"/>
        <v>17513.830604428993</v>
      </c>
      <c r="I20" s="2"/>
      <c r="J20" s="5">
        <f t="shared" si="3"/>
        <v>1419.2787975525407</v>
      </c>
      <c r="K20" s="5">
        <f t="shared" si="12"/>
        <v>1370.9790461659604</v>
      </c>
      <c r="L20" s="5">
        <f t="shared" si="4"/>
        <v>1471.1704923031245</v>
      </c>
      <c r="M20" s="5">
        <f t="shared" si="5"/>
        <v>-51.829507696875453</v>
      </c>
      <c r="N20" s="5">
        <f t="shared" si="6"/>
        <v>51.829507696875453</v>
      </c>
      <c r="O20" s="5">
        <f t="shared" si="10"/>
        <v>2686.297868100472</v>
      </c>
    </row>
    <row r="21" spans="1:15">
      <c r="B21" s="6" t="s">
        <v>9</v>
      </c>
      <c r="C21" s="7">
        <v>1386</v>
      </c>
      <c r="D21" s="10"/>
      <c r="E21" s="5">
        <f t="shared" si="11"/>
        <v>1430.3621189999997</v>
      </c>
      <c r="F21" s="5">
        <f t="shared" si="7"/>
        <v>44.362118999999666</v>
      </c>
      <c r="G21" s="5">
        <f t="shared" si="8"/>
        <v>44.362118999999666</v>
      </c>
      <c r="H21" s="5">
        <f t="shared" si="9"/>
        <v>1967.9976021701314</v>
      </c>
      <c r="I21" s="2"/>
      <c r="J21" s="5">
        <f t="shared" si="3"/>
        <v>1438.5653333333332</v>
      </c>
      <c r="K21" s="5">
        <f t="shared" si="12"/>
        <v>1385.4689715819345</v>
      </c>
      <c r="L21" s="5">
        <f t="shared" si="4"/>
        <v>1334.8437850668081</v>
      </c>
      <c r="M21" s="5">
        <f t="shared" si="5"/>
        <v>-51.156214933191904</v>
      </c>
      <c r="N21" s="5">
        <f t="shared" si="6"/>
        <v>51.156214933191904</v>
      </c>
      <c r="O21" s="5">
        <f t="shared" si="10"/>
        <v>2616.9583262909264</v>
      </c>
    </row>
    <row r="22" spans="1:15">
      <c r="B22" s="6" t="s">
        <v>10</v>
      </c>
      <c r="C22" s="7">
        <v>1351</v>
      </c>
      <c r="D22" s="10"/>
      <c r="E22" s="5">
        <f t="shared" si="11"/>
        <v>1417.0534832999997</v>
      </c>
      <c r="F22" s="5">
        <f t="shared" si="7"/>
        <v>66.053483299999698</v>
      </c>
      <c r="G22" s="5">
        <f t="shared" si="8"/>
        <v>66.053483299999698</v>
      </c>
      <c r="H22" s="5">
        <f t="shared" si="9"/>
        <v>4363.0626560633391</v>
      </c>
      <c r="I22" s="2"/>
      <c r="J22" s="5">
        <f t="shared" si="3"/>
        <v>1317.8927875243664</v>
      </c>
      <c r="K22" s="5">
        <f t="shared" si="12"/>
        <v>1401.397880107354</v>
      </c>
      <c r="L22" s="5">
        <f t="shared" si="4"/>
        <v>1436.6028511177585</v>
      </c>
      <c r="M22" s="5">
        <f t="shared" si="5"/>
        <v>85.602851117758519</v>
      </c>
      <c r="N22" s="5">
        <f t="shared" si="6"/>
        <v>85.602851117758519</v>
      </c>
      <c r="O22" s="5">
        <f t="shared" si="10"/>
        <v>7327.848119489131</v>
      </c>
    </row>
    <row r="23" spans="1:15">
      <c r="B23" s="6" t="s">
        <v>11</v>
      </c>
      <c r="C23" s="7">
        <v>1075</v>
      </c>
      <c r="D23" s="10"/>
      <c r="E23" s="5">
        <f t="shared" si="11"/>
        <v>1397.2374383099998</v>
      </c>
      <c r="F23" s="5">
        <f t="shared" si="7"/>
        <v>322.23743830999979</v>
      </c>
      <c r="G23" s="5">
        <f t="shared" si="8"/>
        <v>322.23743830999979</v>
      </c>
      <c r="H23" s="5">
        <f t="shared" si="9"/>
        <v>103836.96664859093</v>
      </c>
      <c r="I23" s="2"/>
      <c r="J23" s="5">
        <f t="shared" si="3"/>
        <v>1447.7989234909651</v>
      </c>
      <c r="K23" s="5">
        <f t="shared" si="12"/>
        <v>1376.3463523324576</v>
      </c>
      <c r="L23" s="5">
        <f t="shared" si="4"/>
        <v>1021.9460069702319</v>
      </c>
      <c r="M23" s="5">
        <f t="shared" si="5"/>
        <v>-53.053993029768094</v>
      </c>
      <c r="N23" s="5">
        <f t="shared" si="6"/>
        <v>53.053993029768094</v>
      </c>
      <c r="O23" s="5">
        <f t="shared" si="10"/>
        <v>2814.7261764026816</v>
      </c>
    </row>
    <row r="24" spans="1:15">
      <c r="B24" s="6" t="s">
        <v>12</v>
      </c>
      <c r="C24" s="7">
        <v>1623</v>
      </c>
      <c r="D24" s="10"/>
      <c r="E24" s="5">
        <f t="shared" si="11"/>
        <v>1300.5662068169997</v>
      </c>
      <c r="F24" s="5">
        <f t="shared" si="7"/>
        <v>-322.43379318300026</v>
      </c>
      <c r="G24" s="5">
        <f t="shared" si="8"/>
        <v>322.43379318300026</v>
      </c>
      <c r="H24" s="5">
        <f t="shared" si="9"/>
        <v>103963.55098637778</v>
      </c>
      <c r="I24" s="2"/>
      <c r="J24" s="5">
        <f t="shared" si="3"/>
        <v>1347.8826458036983</v>
      </c>
      <c r="K24" s="5">
        <f t="shared" si="12"/>
        <v>1397.7821236800098</v>
      </c>
      <c r="L24" s="5">
        <f t="shared" si="4"/>
        <v>1683.0844983392183</v>
      </c>
      <c r="M24" s="5">
        <f t="shared" si="5"/>
        <v>60.084498339218271</v>
      </c>
      <c r="N24" s="5">
        <f t="shared" si="6"/>
        <v>60.084498339218271</v>
      </c>
      <c r="O24" s="5">
        <f t="shared" si="10"/>
        <v>3610.1469406755232</v>
      </c>
    </row>
    <row r="25" spans="1:15">
      <c r="B25" s="6" t="s">
        <v>13</v>
      </c>
      <c r="C25" s="7">
        <v>1756</v>
      </c>
      <c r="D25" s="10"/>
      <c r="E25" s="5">
        <f t="shared" si="11"/>
        <v>1397.2963447718998</v>
      </c>
      <c r="F25" s="5">
        <f t="shared" si="7"/>
        <v>-358.70365522810016</v>
      </c>
      <c r="G25" s="5">
        <f t="shared" si="8"/>
        <v>358.70365522810016</v>
      </c>
      <c r="H25" s="5">
        <f t="shared" si="9"/>
        <v>128668.31227399975</v>
      </c>
      <c r="I25" s="2"/>
      <c r="J25" s="5">
        <f t="shared" si="3"/>
        <v>1364.2200044355732</v>
      </c>
      <c r="K25" s="5">
        <f t="shared" si="12"/>
        <v>1382.8122803171163</v>
      </c>
      <c r="L25" s="5">
        <f t="shared" si="4"/>
        <v>1779.9316505709044</v>
      </c>
      <c r="M25" s="5">
        <f t="shared" si="5"/>
        <v>23.931650570904367</v>
      </c>
      <c r="N25" s="5">
        <f t="shared" si="6"/>
        <v>23.931650570904367</v>
      </c>
      <c r="O25" s="5">
        <f t="shared" si="10"/>
        <v>572.72389904786735</v>
      </c>
    </row>
    <row r="26" spans="1:15">
      <c r="B26" s="6" t="s">
        <v>14</v>
      </c>
      <c r="C26" s="7">
        <v>1346</v>
      </c>
      <c r="D26" s="10"/>
      <c r="E26" s="5">
        <f t="shared" si="11"/>
        <v>1504.9074413403298</v>
      </c>
      <c r="F26" s="5">
        <f t="shared" si="7"/>
        <v>158.9074413403298</v>
      </c>
      <c r="G26" s="5">
        <f t="shared" si="8"/>
        <v>158.9074413403298</v>
      </c>
      <c r="H26" s="5">
        <f t="shared" si="9"/>
        <v>25251.574913330354</v>
      </c>
      <c r="I26" s="2"/>
      <c r="J26" s="5">
        <f t="shared" si="3"/>
        <v>1471.6098626716605</v>
      </c>
      <c r="K26" s="5">
        <f t="shared" si="12"/>
        <v>1377.2345975526532</v>
      </c>
      <c r="L26" s="5">
        <f t="shared" si="4"/>
        <v>1259.6801742959465</v>
      </c>
      <c r="M26" s="5">
        <f t="shared" si="5"/>
        <v>-86.319825704053528</v>
      </c>
      <c r="N26" s="5">
        <f t="shared" si="6"/>
        <v>86.319825704053528</v>
      </c>
      <c r="O26" s="5">
        <f t="shared" si="10"/>
        <v>7451.1123095781804</v>
      </c>
    </row>
    <row r="27" spans="1:15">
      <c r="B27" s="6" t="s">
        <v>15</v>
      </c>
      <c r="C27" s="7">
        <v>1031</v>
      </c>
      <c r="D27" s="10"/>
      <c r="E27" s="5">
        <f t="shared" si="11"/>
        <v>1457.2352089382307</v>
      </c>
      <c r="F27" s="5">
        <f t="shared" si="7"/>
        <v>426.2352089382307</v>
      </c>
      <c r="G27" s="5">
        <f t="shared" si="8"/>
        <v>426.2352089382307</v>
      </c>
      <c r="H27" s="5">
        <f t="shared" si="9"/>
        <v>181676.45333861717</v>
      </c>
      <c r="I27" s="2"/>
      <c r="J27" s="5">
        <f t="shared" si="3"/>
        <v>1229.6877766428329</v>
      </c>
      <c r="K27" s="5">
        <f t="shared" si="12"/>
        <v>1405.5471770883553</v>
      </c>
      <c r="L27" s="5">
        <f t="shared" si="4"/>
        <v>1178.4447785065656</v>
      </c>
      <c r="M27" s="5">
        <f t="shared" si="5"/>
        <v>147.44477850656563</v>
      </c>
      <c r="N27" s="5">
        <f t="shared" si="6"/>
        <v>147.44477850656563</v>
      </c>
      <c r="O27" s="5">
        <f t="shared" si="10"/>
        <v>21739.962708850198</v>
      </c>
    </row>
    <row r="28" spans="1:15">
      <c r="A28" s="27">
        <v>1995</v>
      </c>
      <c r="B28" s="6" t="s">
        <v>4</v>
      </c>
      <c r="C28" s="7">
        <v>1154</v>
      </c>
      <c r="D28" s="10"/>
      <c r="E28" s="5">
        <f t="shared" si="11"/>
        <v>1329.3646462567615</v>
      </c>
      <c r="F28" s="5">
        <f t="shared" si="7"/>
        <v>175.36464625676149</v>
      </c>
      <c r="G28" s="5">
        <f t="shared" si="8"/>
        <v>175.36464625676149</v>
      </c>
      <c r="H28" s="5">
        <f t="shared" si="9"/>
        <v>30752.75915675909</v>
      </c>
      <c r="I28" s="2"/>
      <c r="J28" s="5">
        <f t="shared" ref="J28:J39" si="13">C28/O2</f>
        <v>1533.7158086323454</v>
      </c>
      <c r="K28" s="5">
        <f t="shared" si="12"/>
        <v>1352.7893569546984</v>
      </c>
      <c r="L28" s="5">
        <f t="shared" ref="L28:L39" si="14">K28*O2</f>
        <v>1017.8671362315895</v>
      </c>
      <c r="M28" s="5">
        <f t="shared" si="5"/>
        <v>-136.13286376841052</v>
      </c>
      <c r="N28" s="5">
        <f t="shared" si="6"/>
        <v>136.13286376841052</v>
      </c>
      <c r="O28" s="5">
        <f t="shared" si="10"/>
        <v>18532.156597788617</v>
      </c>
    </row>
    <row r="29" spans="1:15">
      <c r="B29" s="6" t="s">
        <v>5</v>
      </c>
      <c r="C29" s="7">
        <v>1567</v>
      </c>
      <c r="D29" s="10"/>
      <c r="E29" s="5">
        <f t="shared" si="11"/>
        <v>1276.7552523797331</v>
      </c>
      <c r="F29" s="5">
        <f t="shared" si="7"/>
        <v>-290.24474762026693</v>
      </c>
      <c r="G29" s="5">
        <f t="shared" si="8"/>
        <v>290.24474762026693</v>
      </c>
      <c r="H29" s="5">
        <f t="shared" si="9"/>
        <v>84242.013521152447</v>
      </c>
      <c r="I29" s="2"/>
      <c r="J29" s="5">
        <f t="shared" si="13"/>
        <v>1623.3726185650587</v>
      </c>
      <c r="K29" s="5">
        <f t="shared" si="12"/>
        <v>1407.0672924579924</v>
      </c>
      <c r="L29" s="5">
        <f t="shared" si="14"/>
        <v>1358.2060101707393</v>
      </c>
      <c r="M29" s="5">
        <f t="shared" si="5"/>
        <v>-208.79398982926068</v>
      </c>
      <c r="N29" s="5">
        <f t="shared" si="6"/>
        <v>208.79398982926068</v>
      </c>
      <c r="O29" s="5">
        <f t="shared" si="10"/>
        <v>43594.93018882141</v>
      </c>
    </row>
    <row r="30" spans="1:15">
      <c r="B30" s="6" t="s">
        <v>6</v>
      </c>
      <c r="C30" s="7">
        <v>1709</v>
      </c>
      <c r="D30" s="10"/>
      <c r="E30" s="5">
        <f t="shared" si="11"/>
        <v>1363.828676665813</v>
      </c>
      <c r="F30" s="5">
        <f t="shared" si="7"/>
        <v>-345.17132333418704</v>
      </c>
      <c r="G30" s="5">
        <f t="shared" si="8"/>
        <v>345.17132333418704</v>
      </c>
      <c r="H30" s="5">
        <f t="shared" si="9"/>
        <v>119143.24245227389</v>
      </c>
      <c r="I30" s="2"/>
      <c r="J30" s="5">
        <f t="shared" si="13"/>
        <v>1564.3899534383957</v>
      </c>
      <c r="K30" s="5">
        <f t="shared" si="12"/>
        <v>1471.9588902901121</v>
      </c>
      <c r="L30" s="5">
        <f t="shared" si="14"/>
        <v>1608.024737040005</v>
      </c>
      <c r="M30" s="5">
        <f t="shared" si="5"/>
        <v>-100.97526295999501</v>
      </c>
      <c r="N30" s="5">
        <f t="shared" si="6"/>
        <v>100.97526295999501</v>
      </c>
      <c r="O30" s="5">
        <f t="shared" si="10"/>
        <v>10196.00372984014</v>
      </c>
    </row>
    <row r="31" spans="1:15">
      <c r="B31" s="6" t="s">
        <v>7</v>
      </c>
      <c r="C31" s="7">
        <v>1998</v>
      </c>
      <c r="D31" s="10"/>
      <c r="E31" s="5">
        <f t="shared" si="11"/>
        <v>1467.3800736660689</v>
      </c>
      <c r="F31" s="5">
        <f t="shared" si="7"/>
        <v>-530.61992633393106</v>
      </c>
      <c r="G31" s="5">
        <f t="shared" si="8"/>
        <v>530.61992633393106</v>
      </c>
      <c r="H31" s="5">
        <f t="shared" si="9"/>
        <v>281557.50622262643</v>
      </c>
      <c r="I31" s="2"/>
      <c r="J31" s="5">
        <f t="shared" si="13"/>
        <v>1703.2650100066712</v>
      </c>
      <c r="K31" s="5">
        <f t="shared" si="12"/>
        <v>1499.6882092345973</v>
      </c>
      <c r="L31" s="5">
        <f t="shared" si="14"/>
        <v>1759.1960290659581</v>
      </c>
      <c r="M31" s="5">
        <f t="shared" si="5"/>
        <v>-238.8039709340419</v>
      </c>
      <c r="N31" s="5">
        <f t="shared" si="6"/>
        <v>238.8039709340419</v>
      </c>
      <c r="O31" s="5">
        <f t="shared" si="10"/>
        <v>57027.336533866728</v>
      </c>
    </row>
    <row r="32" spans="1:15">
      <c r="B32" s="6" t="s">
        <v>8</v>
      </c>
      <c r="C32" s="7">
        <v>1891</v>
      </c>
      <c r="D32" s="10"/>
      <c r="E32" s="5">
        <f t="shared" si="11"/>
        <v>1626.566051566248</v>
      </c>
      <c r="F32" s="5">
        <f t="shared" si="7"/>
        <v>-264.43394843375199</v>
      </c>
      <c r="G32" s="5">
        <f t="shared" si="8"/>
        <v>264.43394843375199</v>
      </c>
      <c r="H32" s="5">
        <f t="shared" si="9"/>
        <v>69925.313084264213</v>
      </c>
      <c r="I32" s="2"/>
      <c r="J32" s="5">
        <f t="shared" si="13"/>
        <v>1740.9665886167147</v>
      </c>
      <c r="K32" s="5">
        <f t="shared" si="12"/>
        <v>1560.7612494662194</v>
      </c>
      <c r="L32" s="5">
        <f t="shared" si="14"/>
        <v>1695.2648844833122</v>
      </c>
      <c r="M32" s="5">
        <f t="shared" si="5"/>
        <v>-195.73511551668776</v>
      </c>
      <c r="N32" s="5">
        <f t="shared" si="6"/>
        <v>195.73511551668776</v>
      </c>
      <c r="O32" s="5">
        <f t="shared" si="10"/>
        <v>38312.235446331099</v>
      </c>
    </row>
    <row r="33" spans="1:15">
      <c r="B33" s="6" t="s">
        <v>9</v>
      </c>
      <c r="C33" s="7">
        <v>1639</v>
      </c>
      <c r="D33" s="10"/>
      <c r="E33" s="5">
        <f t="shared" si="11"/>
        <v>1705.8962360963735</v>
      </c>
      <c r="F33" s="5">
        <f t="shared" si="7"/>
        <v>66.896236096373514</v>
      </c>
      <c r="G33" s="5">
        <f t="shared" si="8"/>
        <v>66.896236096373514</v>
      </c>
      <c r="H33" s="5">
        <f t="shared" si="9"/>
        <v>4475.1064038617469</v>
      </c>
      <c r="I33" s="2"/>
      <c r="J33" s="5">
        <f t="shared" si="13"/>
        <v>1668.2095778574273</v>
      </c>
      <c r="K33" s="5">
        <f t="shared" si="12"/>
        <v>1614.8228512113678</v>
      </c>
      <c r="L33" s="5">
        <f t="shared" si="14"/>
        <v>1586.5480502364255</v>
      </c>
      <c r="M33" s="5">
        <f t="shared" si="5"/>
        <v>-52.451949763574476</v>
      </c>
      <c r="N33" s="5">
        <f t="shared" si="6"/>
        <v>52.451949763574476</v>
      </c>
      <c r="O33" s="5">
        <f t="shared" si="10"/>
        <v>2751.2070340005403</v>
      </c>
    </row>
    <row r="34" spans="1:15">
      <c r="B34" s="6" t="s">
        <v>10</v>
      </c>
      <c r="C34" s="7">
        <v>1504</v>
      </c>
      <c r="D34" s="10"/>
      <c r="E34" s="5">
        <f t="shared" si="11"/>
        <v>1685.8273652674613</v>
      </c>
      <c r="F34" s="5">
        <f t="shared" si="7"/>
        <v>181.82736526746135</v>
      </c>
      <c r="G34" s="5">
        <f t="shared" si="8"/>
        <v>181.82736526746135</v>
      </c>
      <c r="H34" s="5">
        <f t="shared" si="9"/>
        <v>33061.190760106809</v>
      </c>
      <c r="I34" s="2"/>
      <c r="J34" s="5">
        <f t="shared" si="13"/>
        <v>1508.5745682888539</v>
      </c>
      <c r="K34" s="5">
        <f t="shared" si="12"/>
        <v>1630.8388692051858</v>
      </c>
      <c r="L34" s="5">
        <f t="shared" si="14"/>
        <v>1625.8935493435638</v>
      </c>
      <c r="M34" s="5">
        <f t="shared" si="5"/>
        <v>121.89354934356379</v>
      </c>
      <c r="N34" s="5">
        <f t="shared" si="6"/>
        <v>121.89354934356379</v>
      </c>
      <c r="O34" s="5">
        <f t="shared" si="10"/>
        <v>14858.037371571821</v>
      </c>
    </row>
    <row r="35" spans="1:15">
      <c r="B35" s="6" t="s">
        <v>11</v>
      </c>
      <c r="C35" s="7">
        <v>1271</v>
      </c>
      <c r="D35" s="10"/>
      <c r="E35" s="5">
        <f t="shared" si="11"/>
        <v>1631.279155687223</v>
      </c>
      <c r="F35" s="5">
        <f t="shared" si="7"/>
        <v>360.27915568722301</v>
      </c>
      <c r="G35" s="5">
        <f t="shared" si="8"/>
        <v>360.27915568722301</v>
      </c>
      <c r="H35" s="5">
        <f t="shared" si="9"/>
        <v>129801.07002269827</v>
      </c>
      <c r="I35" s="2"/>
      <c r="J35" s="5">
        <f t="shared" si="13"/>
        <v>1672.6870494335735</v>
      </c>
      <c r="K35" s="5">
        <f t="shared" si="12"/>
        <v>1594.1595789302862</v>
      </c>
      <c r="L35" s="5">
        <f t="shared" si="14"/>
        <v>1211.3304909645371</v>
      </c>
      <c r="M35" s="5">
        <f t="shared" si="5"/>
        <v>-59.669509035462852</v>
      </c>
      <c r="N35" s="5">
        <f t="shared" si="6"/>
        <v>59.669509035462852</v>
      </c>
      <c r="O35" s="5">
        <f t="shared" si="10"/>
        <v>3560.450308533183</v>
      </c>
    </row>
    <row r="36" spans="1:15">
      <c r="B36" s="6" t="s">
        <v>12</v>
      </c>
      <c r="C36" s="7">
        <v>1786</v>
      </c>
      <c r="D36" s="10"/>
      <c r="E36" s="5">
        <f t="shared" si="11"/>
        <v>1523.1954089810561</v>
      </c>
      <c r="F36" s="5">
        <f t="shared" si="7"/>
        <v>-262.80459101894394</v>
      </c>
      <c r="G36" s="5">
        <f t="shared" si="8"/>
        <v>262.80459101894394</v>
      </c>
      <c r="H36" s="5">
        <f t="shared" si="9"/>
        <v>69066.253060634393</v>
      </c>
      <c r="I36" s="2"/>
      <c r="J36" s="5">
        <f t="shared" si="13"/>
        <v>1506.9559260482006</v>
      </c>
      <c r="K36" s="5">
        <f t="shared" si="12"/>
        <v>1617.7178200812723</v>
      </c>
      <c r="L36" s="5">
        <f t="shared" si="14"/>
        <v>1917.2717507683358</v>
      </c>
      <c r="M36" s="5">
        <f t="shared" si="5"/>
        <v>131.27175076833578</v>
      </c>
      <c r="N36" s="5">
        <f t="shared" si="6"/>
        <v>131.27175076833578</v>
      </c>
      <c r="O36" s="5">
        <f t="shared" si="10"/>
        <v>17232.272549784066</v>
      </c>
    </row>
    <row r="37" spans="1:15">
      <c r="B37" s="6" t="s">
        <v>13</v>
      </c>
      <c r="C37" s="7">
        <v>1941</v>
      </c>
      <c r="D37" s="10"/>
      <c r="E37" s="5">
        <f t="shared" si="11"/>
        <v>1602.0367862867392</v>
      </c>
      <c r="F37" s="5">
        <f t="shared" si="7"/>
        <v>-338.96321371326076</v>
      </c>
      <c r="G37" s="5">
        <f t="shared" si="8"/>
        <v>338.96321371326076</v>
      </c>
      <c r="H37" s="5">
        <f t="shared" si="9"/>
        <v>114896.06025082168</v>
      </c>
      <c r="I37" s="2"/>
      <c r="J37" s="5">
        <f t="shared" si="13"/>
        <v>1522.1573335378951</v>
      </c>
      <c r="K37" s="5">
        <f t="shared" si="12"/>
        <v>1584.4892518713507</v>
      </c>
      <c r="L37" s="5">
        <f t="shared" si="14"/>
        <v>2020.4834087249269</v>
      </c>
      <c r="M37" s="5">
        <f t="shared" si="5"/>
        <v>79.483408724926903</v>
      </c>
      <c r="N37" s="5">
        <f t="shared" si="6"/>
        <v>79.483408724926903</v>
      </c>
      <c r="O37" s="5">
        <f t="shared" si="10"/>
        <v>6317.6122625337857</v>
      </c>
    </row>
    <row r="38" spans="1:15">
      <c r="B38" s="6" t="s">
        <v>14</v>
      </c>
      <c r="C38" s="7">
        <v>1606</v>
      </c>
      <c r="D38" s="10"/>
      <c r="E38" s="5">
        <f t="shared" si="11"/>
        <v>1703.7257504007173</v>
      </c>
      <c r="F38" s="5">
        <f t="shared" si="7"/>
        <v>97.725750400717288</v>
      </c>
      <c r="G38" s="5">
        <f t="shared" si="8"/>
        <v>97.725750400717288</v>
      </c>
      <c r="H38" s="5">
        <f t="shared" si="9"/>
        <v>9550.322291383296</v>
      </c>
      <c r="I38" s="2"/>
      <c r="J38" s="5">
        <f t="shared" si="13"/>
        <v>1700.3042667771335</v>
      </c>
      <c r="K38" s="5">
        <f t="shared" si="12"/>
        <v>1565.7896763713138</v>
      </c>
      <c r="L38" s="5">
        <f t="shared" si="14"/>
        <v>1478.9460153615773</v>
      </c>
      <c r="M38" s="5">
        <f t="shared" si="5"/>
        <v>-127.05398463842266</v>
      </c>
      <c r="N38" s="5">
        <f t="shared" si="6"/>
        <v>127.05398463842266</v>
      </c>
      <c r="O38" s="5">
        <f t="shared" si="10"/>
        <v>16142.715012500541</v>
      </c>
    </row>
    <row r="39" spans="1:15">
      <c r="B39" s="6" t="s">
        <v>15</v>
      </c>
      <c r="C39" s="7">
        <v>1389</v>
      </c>
      <c r="D39" s="10"/>
      <c r="E39" s="5">
        <f t="shared" si="11"/>
        <v>1674.408025280502</v>
      </c>
      <c r="F39" s="5">
        <f t="shared" si="7"/>
        <v>285.40802528050199</v>
      </c>
      <c r="G39" s="5">
        <f t="shared" si="8"/>
        <v>285.40802528050199</v>
      </c>
      <c r="H39" s="5">
        <f t="shared" si="9"/>
        <v>81457.740894515664</v>
      </c>
      <c r="I39" s="2"/>
      <c r="J39" s="5">
        <f t="shared" si="13"/>
        <v>1766.1376865671641</v>
      </c>
      <c r="K39" s="5">
        <f t="shared" si="12"/>
        <v>1606.1440534930596</v>
      </c>
      <c r="L39" s="5">
        <f t="shared" si="14"/>
        <v>1263.1711034025432</v>
      </c>
      <c r="M39" s="5">
        <f t="shared" si="5"/>
        <v>-125.82889659745683</v>
      </c>
      <c r="N39" s="5">
        <f t="shared" si="6"/>
        <v>125.82889659745683</v>
      </c>
      <c r="O39" s="5">
        <f t="shared" si="10"/>
        <v>15832.911218933483</v>
      </c>
    </row>
    <row r="40" spans="1:15">
      <c r="C40" s="5"/>
      <c r="D40" s="10"/>
      <c r="E40" s="8" t="s">
        <v>24</v>
      </c>
      <c r="F40" s="9" t="s">
        <v>51</v>
      </c>
      <c r="G40" s="9" t="s">
        <v>52</v>
      </c>
      <c r="H40" s="9" t="s">
        <v>55</v>
      </c>
      <c r="I40" s="9"/>
      <c r="J40" s="9"/>
      <c r="K40" s="8" t="s">
        <v>24</v>
      </c>
      <c r="L40" s="9"/>
      <c r="M40" s="9" t="s">
        <v>51</v>
      </c>
      <c r="N40" s="9" t="s">
        <v>52</v>
      </c>
      <c r="O40" s="9" t="s">
        <v>55</v>
      </c>
    </row>
    <row r="41" spans="1:15" s="13" customFormat="1">
      <c r="A41" s="28" t="s">
        <v>19</v>
      </c>
      <c r="C41" s="14">
        <f>AVERAGE(C16:C39)</f>
        <v>1504.6666666666667</v>
      </c>
      <c r="D41" s="15"/>
      <c r="E41" s="14"/>
      <c r="F41" s="14">
        <f>SUM(F16:F39)/24</f>
        <v>-66.123002457826857</v>
      </c>
      <c r="G41" s="14">
        <f>SUM(G16:G39)/24</f>
        <v>255.03940828095998</v>
      </c>
      <c r="H41" s="16">
        <f>SQRT(SUM(H16:H39)/24)</f>
        <v>285.02957400441267</v>
      </c>
      <c r="I41" s="16"/>
      <c r="J41" s="16"/>
      <c r="K41" s="14"/>
      <c r="L41" s="16"/>
      <c r="M41" s="16">
        <f>SUM(M16:M39)/24</f>
        <v>-55.104634116889059</v>
      </c>
      <c r="N41" s="16">
        <f>SUM(N16:N39)/24</f>
        <v>109.24734139782849</v>
      </c>
      <c r="O41" s="16">
        <f>SQRT(SUM(O16:O39)/24)</f>
        <v>121.87324807749962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sqref="A1:B1"/>
    </sheetView>
  </sheetViews>
  <sheetFormatPr baseColWidth="10" defaultRowHeight="12.75"/>
  <cols>
    <col min="1" max="1" width="11.5703125" style="1" customWidth="1"/>
    <col min="3" max="3" width="11.5703125" style="3" customWidth="1"/>
    <col min="4" max="4" width="2.85546875" style="11" customWidth="1"/>
    <col min="5" max="5" width="8.7109375" style="5" customWidth="1"/>
    <col min="6" max="8" width="8.7109375" customWidth="1"/>
    <col min="9" max="9" width="2.28515625" customWidth="1"/>
    <col min="10" max="10" width="12.5703125" customWidth="1"/>
    <col min="11" max="11" width="8.7109375" style="5" customWidth="1"/>
    <col min="12" max="18" width="8.7109375" customWidth="1"/>
  </cols>
  <sheetData>
    <row r="1" spans="1:18" ht="15.75">
      <c r="A1" s="62" t="s">
        <v>16</v>
      </c>
      <c r="B1" s="63"/>
      <c r="D1" s="3"/>
      <c r="J1" s="12" t="s">
        <v>0</v>
      </c>
      <c r="K1" s="9" t="s">
        <v>44</v>
      </c>
      <c r="L1" s="9" t="s">
        <v>18</v>
      </c>
      <c r="M1" s="12" t="s">
        <v>45</v>
      </c>
      <c r="N1" s="12" t="s">
        <v>18</v>
      </c>
    </row>
    <row r="2" spans="1:18">
      <c r="D2" s="3"/>
      <c r="J2" s="18" t="s">
        <v>4</v>
      </c>
      <c r="K2" s="19">
        <v>892</v>
      </c>
      <c r="L2" s="21">
        <f t="shared" ref="L2:L13" si="0">12*K2/$K$14</f>
        <v>0.76391664287753358</v>
      </c>
      <c r="M2" s="23">
        <f t="shared" ref="M2:M13" si="1">(C4+C16)/2</f>
        <v>961.5</v>
      </c>
      <c r="N2" s="24">
        <f t="shared" ref="N2:N13" si="2">12*M2/$M$14</f>
        <v>0.75242101144478135</v>
      </c>
    </row>
    <row r="3" spans="1:18">
      <c r="D3" s="3"/>
      <c r="J3" s="18" t="s">
        <v>5</v>
      </c>
      <c r="K3" s="19">
        <v>1114</v>
      </c>
      <c r="L3" s="21">
        <f t="shared" si="0"/>
        <v>0.95403939480445332</v>
      </c>
      <c r="M3" s="23">
        <f t="shared" si="1"/>
        <v>1233.5</v>
      </c>
      <c r="N3" s="24">
        <f t="shared" si="2"/>
        <v>0.96527438129707521</v>
      </c>
    </row>
    <row r="4" spans="1:18">
      <c r="A4" s="1" t="s">
        <v>1</v>
      </c>
      <c r="B4" t="s">
        <v>4</v>
      </c>
      <c r="C4" s="3">
        <v>892</v>
      </c>
      <c r="D4" s="3"/>
      <c r="J4" s="18" t="s">
        <v>6</v>
      </c>
      <c r="K4" s="19">
        <v>1280</v>
      </c>
      <c r="L4" s="21">
        <f t="shared" si="0"/>
        <v>1.0962032543534113</v>
      </c>
      <c r="M4" s="23">
        <f t="shared" si="1"/>
        <v>1396</v>
      </c>
      <c r="N4" s="24">
        <f t="shared" si="2"/>
        <v>1.0924386188007433</v>
      </c>
    </row>
    <row r="5" spans="1:18">
      <c r="B5" t="s">
        <v>5</v>
      </c>
      <c r="C5" s="3">
        <v>1114</v>
      </c>
      <c r="D5" s="3"/>
      <c r="J5" s="18" t="s">
        <v>7</v>
      </c>
      <c r="K5" s="19">
        <v>1328</v>
      </c>
      <c r="L5" s="21">
        <f t="shared" si="0"/>
        <v>1.1373108763916644</v>
      </c>
      <c r="M5" s="23">
        <f t="shared" si="1"/>
        <v>1499</v>
      </c>
      <c r="N5" s="24">
        <f t="shared" si="2"/>
        <v>1.1730411816492223</v>
      </c>
    </row>
    <row r="6" spans="1:18">
      <c r="B6" t="s">
        <v>6</v>
      </c>
      <c r="C6" s="3">
        <v>1280</v>
      </c>
      <c r="D6" s="3"/>
      <c r="J6" s="18" t="s">
        <v>8</v>
      </c>
      <c r="K6" s="19">
        <v>1253</v>
      </c>
      <c r="L6" s="21">
        <f t="shared" si="0"/>
        <v>1.073080216956894</v>
      </c>
      <c r="M6" s="23">
        <f t="shared" si="1"/>
        <v>1388</v>
      </c>
      <c r="N6" s="24">
        <f t="shared" si="2"/>
        <v>1.0861782255697936</v>
      </c>
    </row>
    <row r="7" spans="1:18">
      <c r="B7" t="s">
        <v>7</v>
      </c>
      <c r="C7" s="3">
        <v>1328</v>
      </c>
      <c r="D7" s="3"/>
      <c r="J7" s="18" t="s">
        <v>9</v>
      </c>
      <c r="K7" s="19">
        <v>1125</v>
      </c>
      <c r="L7" s="21">
        <f t="shared" si="0"/>
        <v>0.96345989152155298</v>
      </c>
      <c r="M7" s="23">
        <f t="shared" si="1"/>
        <v>1255.5</v>
      </c>
      <c r="N7" s="24">
        <f t="shared" si="2"/>
        <v>0.9824904626821872</v>
      </c>
    </row>
    <row r="8" spans="1:18">
      <c r="B8" t="s">
        <v>8</v>
      </c>
      <c r="C8" s="3">
        <v>1253</v>
      </c>
      <c r="D8" s="3"/>
      <c r="E8" s="42" t="s">
        <v>54</v>
      </c>
      <c r="F8" s="52">
        <v>0.3</v>
      </c>
      <c r="J8" s="18" t="s">
        <v>10</v>
      </c>
      <c r="K8" s="19">
        <v>1197</v>
      </c>
      <c r="L8" s="21">
        <f t="shared" si="0"/>
        <v>1.0251213245789323</v>
      </c>
      <c r="M8" s="23">
        <f t="shared" si="1"/>
        <v>1274</v>
      </c>
      <c r="N8" s="24">
        <f t="shared" si="2"/>
        <v>0.99696762202875866</v>
      </c>
    </row>
    <row r="9" spans="1:18">
      <c r="B9" t="s">
        <v>9</v>
      </c>
      <c r="C9" s="3">
        <v>1125</v>
      </c>
      <c r="D9" s="3"/>
      <c r="J9" s="18" t="s">
        <v>11</v>
      </c>
      <c r="K9" s="19">
        <v>867</v>
      </c>
      <c r="L9" s="21">
        <f t="shared" si="0"/>
        <v>0.7425064230659435</v>
      </c>
      <c r="M9" s="23">
        <f t="shared" si="1"/>
        <v>971</v>
      </c>
      <c r="N9" s="24">
        <f t="shared" si="2"/>
        <v>0.7598552284065343</v>
      </c>
    </row>
    <row r="10" spans="1:18">
      <c r="B10" t="s">
        <v>10</v>
      </c>
      <c r="C10" s="3">
        <v>1197</v>
      </c>
      <c r="D10" s="3"/>
      <c r="E10" s="43" t="s">
        <v>56</v>
      </c>
      <c r="F10" s="52">
        <v>0.05</v>
      </c>
      <c r="J10" s="18" t="s">
        <v>12</v>
      </c>
      <c r="K10" s="19">
        <v>1406</v>
      </c>
      <c r="L10" s="21">
        <f t="shared" si="0"/>
        <v>1.2041107622038254</v>
      </c>
      <c r="M10" s="23">
        <f t="shared" si="1"/>
        <v>1514.5</v>
      </c>
      <c r="N10" s="24">
        <f t="shared" si="2"/>
        <v>1.1851706935341877</v>
      </c>
    </row>
    <row r="11" spans="1:18">
      <c r="B11" t="s">
        <v>11</v>
      </c>
      <c r="C11" s="3">
        <v>867</v>
      </c>
      <c r="D11" s="3"/>
      <c r="E11"/>
      <c r="J11" s="18" t="s">
        <v>13</v>
      </c>
      <c r="K11" s="19">
        <v>1503</v>
      </c>
      <c r="L11" s="21">
        <f t="shared" si="0"/>
        <v>1.2871824150727948</v>
      </c>
      <c r="M11" s="23">
        <f t="shared" si="1"/>
        <v>1629.5</v>
      </c>
      <c r="N11" s="24">
        <f t="shared" si="2"/>
        <v>1.2751638462290913</v>
      </c>
    </row>
    <row r="12" spans="1:18">
      <c r="B12" t="s">
        <v>12</v>
      </c>
      <c r="C12" s="3">
        <v>1406</v>
      </c>
      <c r="D12" s="3"/>
      <c r="E12" s="43"/>
      <c r="F12" s="51"/>
      <c r="J12" s="18" t="s">
        <v>14</v>
      </c>
      <c r="K12" s="19">
        <v>1068</v>
      </c>
      <c r="L12" s="21">
        <f t="shared" si="0"/>
        <v>0.91464459035112755</v>
      </c>
      <c r="M12" s="23">
        <f t="shared" si="1"/>
        <v>1207</v>
      </c>
      <c r="N12" s="24">
        <f t="shared" si="2"/>
        <v>0.94453682871955391</v>
      </c>
    </row>
    <row r="13" spans="1:18">
      <c r="B13" t="s">
        <v>13</v>
      </c>
      <c r="C13" s="3">
        <v>1503</v>
      </c>
      <c r="D13" s="3"/>
      <c r="J13" s="18" t="s">
        <v>15</v>
      </c>
      <c r="K13" s="19">
        <v>979</v>
      </c>
      <c r="L13" s="21">
        <f t="shared" si="0"/>
        <v>0.838424207821867</v>
      </c>
      <c r="M13" s="23">
        <f t="shared" si="1"/>
        <v>1005</v>
      </c>
      <c r="N13" s="24">
        <f t="shared" si="2"/>
        <v>0.786461899638071</v>
      </c>
    </row>
    <row r="14" spans="1:18">
      <c r="B14" t="s">
        <v>14</v>
      </c>
      <c r="C14" s="3">
        <v>1068</v>
      </c>
      <c r="D14" s="3"/>
      <c r="J14" s="18" t="s">
        <v>17</v>
      </c>
      <c r="K14" s="20">
        <f>SUM(K2:K13)</f>
        <v>14012</v>
      </c>
      <c r="L14" s="19"/>
      <c r="M14" s="25">
        <f>SUM(M2:M13)</f>
        <v>15334.5</v>
      </c>
      <c r="N14" s="26"/>
    </row>
    <row r="15" spans="1:18">
      <c r="B15" t="s">
        <v>15</v>
      </c>
      <c r="C15" s="3">
        <v>979</v>
      </c>
      <c r="D15" s="3"/>
      <c r="E15" s="8" t="s">
        <v>24</v>
      </c>
      <c r="F15" s="9" t="s">
        <v>51</v>
      </c>
      <c r="G15" s="9" t="s">
        <v>52</v>
      </c>
      <c r="H15" s="9" t="s">
        <v>55</v>
      </c>
      <c r="I15" s="9"/>
      <c r="J15" s="9" t="s">
        <v>28</v>
      </c>
      <c r="K15" s="8" t="s">
        <v>24</v>
      </c>
      <c r="L15" s="9" t="s">
        <v>25</v>
      </c>
      <c r="M15" s="9" t="s">
        <v>26</v>
      </c>
      <c r="N15" s="9" t="s">
        <v>42</v>
      </c>
      <c r="O15" s="9" t="s">
        <v>43</v>
      </c>
      <c r="P15" s="9" t="s">
        <v>51</v>
      </c>
      <c r="Q15" s="9" t="s">
        <v>52</v>
      </c>
      <c r="R15" s="9" t="s">
        <v>55</v>
      </c>
    </row>
    <row r="16" spans="1:18">
      <c r="A16" s="1" t="s">
        <v>2</v>
      </c>
      <c r="B16" s="6" t="s">
        <v>4</v>
      </c>
      <c r="C16" s="7">
        <v>1031</v>
      </c>
      <c r="D16" s="10"/>
      <c r="E16" s="5">
        <f>alphaT*C15+(1-alphaT)*(C10+C11+C12+C13+C14+C15)/6</f>
        <v>1112.7</v>
      </c>
      <c r="F16" s="5">
        <f t="shared" ref="F16:F39" si="3">E16-C16</f>
        <v>81.700000000000045</v>
      </c>
      <c r="G16" s="5">
        <f t="shared" ref="G16:G39" si="4">ABS(E16-C16)</f>
        <v>81.700000000000045</v>
      </c>
      <c r="H16" s="5">
        <f>(E16-C16)^2</f>
        <v>6674.8900000000076</v>
      </c>
      <c r="I16" s="2"/>
      <c r="J16" s="5">
        <f t="shared" ref="J16:J27" si="5">C16/L2</f>
        <v>1349.6236920777278</v>
      </c>
      <c r="K16" s="5">
        <f>alphaT*C15+(1-alphaT)*SUM(C4:C15)/12</f>
        <v>1111.0666666666666</v>
      </c>
      <c r="L16" s="5">
        <v>20</v>
      </c>
      <c r="M16" s="5">
        <f>L16</f>
        <v>20</v>
      </c>
      <c r="N16" s="5">
        <f>K16+M16</f>
        <v>1131.0666666666666</v>
      </c>
      <c r="O16" s="5">
        <f t="shared" ref="O16:O27" si="6">N16*L2</f>
        <v>864.04065087068227</v>
      </c>
      <c r="P16" s="5">
        <f>O16-C16</f>
        <v>-166.95934912931773</v>
      </c>
      <c r="Q16" s="5">
        <f>ABS(O16-C16)</f>
        <v>166.95934912931773</v>
      </c>
      <c r="R16" s="5">
        <f>(O16-C16)^2</f>
        <v>27875.42426168541</v>
      </c>
    </row>
    <row r="17" spans="1:18">
      <c r="B17" s="6" t="s">
        <v>5</v>
      </c>
      <c r="C17" s="7">
        <v>1353</v>
      </c>
      <c r="D17" s="10"/>
      <c r="E17" s="5">
        <f>alphaT*C16+(1-alphaT)*E16</f>
        <v>1088.19</v>
      </c>
      <c r="F17" s="5">
        <f t="shared" si="3"/>
        <v>-264.80999999999995</v>
      </c>
      <c r="G17" s="5">
        <f t="shared" si="4"/>
        <v>264.80999999999995</v>
      </c>
      <c r="H17" s="5">
        <f t="shared" ref="H17:H39" si="7">(E17-C17)^2</f>
        <v>70124.336099999971</v>
      </c>
      <c r="I17" s="2"/>
      <c r="J17" s="5">
        <f t="shared" si="5"/>
        <v>1418.1804308797127</v>
      </c>
      <c r="K17" s="5">
        <f>alphaT*J16+(1-alphaT)*N16</f>
        <v>1196.633774289985</v>
      </c>
      <c r="L17" s="5">
        <f t="shared" ref="L17:L39" si="8">K17-K16</f>
        <v>85.567107623318407</v>
      </c>
      <c r="M17" s="5">
        <f>betaT*L17+(1-betaT)*M16</f>
        <v>23.27835538116592</v>
      </c>
      <c r="N17" s="5">
        <f t="shared" ref="N17:N39" si="9">K17+M17</f>
        <v>1219.912129671151</v>
      </c>
      <c r="O17" s="5">
        <f t="shared" si="6"/>
        <v>1163.8442299060766</v>
      </c>
      <c r="P17" s="5">
        <f t="shared" ref="P17:P39" si="10">O17-C17</f>
        <v>-189.15577009392337</v>
      </c>
      <c r="Q17" s="5">
        <f t="shared" ref="Q17:Q39" si="11">ABS(O17-C17)</f>
        <v>189.15577009392337</v>
      </c>
      <c r="R17" s="5">
        <f t="shared" ref="R17:R39" si="12">(O17-C17)^2</f>
        <v>35779.905359825192</v>
      </c>
    </row>
    <row r="18" spans="1:18">
      <c r="B18" s="6" t="s">
        <v>6</v>
      </c>
      <c r="C18" s="7">
        <v>1512</v>
      </c>
      <c r="D18" s="10"/>
      <c r="E18" s="5">
        <f t="shared" ref="E18:E39" si="13">alphaT*C17+(1-alphaT)*E17</f>
        <v>1167.6329999999998</v>
      </c>
      <c r="F18" s="5">
        <f t="shared" si="3"/>
        <v>-344.36700000000019</v>
      </c>
      <c r="G18" s="5">
        <f t="shared" si="4"/>
        <v>344.36700000000019</v>
      </c>
      <c r="H18" s="5">
        <f t="shared" si="7"/>
        <v>118588.63068900013</v>
      </c>
      <c r="I18" s="2"/>
      <c r="J18" s="5">
        <f t="shared" si="5"/>
        <v>1379.3062500000001</v>
      </c>
      <c r="K18" s="5">
        <f t="shared" ref="K18:K39" si="14">alphaT*J17+(1-alphaT)*N17</f>
        <v>1279.3926200337194</v>
      </c>
      <c r="L18" s="5">
        <f t="shared" si="8"/>
        <v>82.758845743734355</v>
      </c>
      <c r="M18" s="5">
        <f t="shared" ref="M18:M39" si="15">betaT*L18+(1-betaT)*M17</f>
        <v>26.25237989929434</v>
      </c>
      <c r="N18" s="5">
        <f t="shared" si="9"/>
        <v>1305.6449999330137</v>
      </c>
      <c r="O18" s="5">
        <f t="shared" si="6"/>
        <v>1431.2522979568289</v>
      </c>
      <c r="P18" s="5">
        <f t="shared" si="10"/>
        <v>-80.747702043171103</v>
      </c>
      <c r="Q18" s="5">
        <f t="shared" si="11"/>
        <v>80.747702043171103</v>
      </c>
      <c r="R18" s="5">
        <f t="shared" si="12"/>
        <v>6520.1913852527387</v>
      </c>
    </row>
    <row r="19" spans="1:18">
      <c r="B19" s="6" t="s">
        <v>7</v>
      </c>
      <c r="C19" s="7">
        <v>1670</v>
      </c>
      <c r="D19" s="10"/>
      <c r="E19" s="5">
        <f t="shared" si="13"/>
        <v>1270.9430999999997</v>
      </c>
      <c r="F19" s="5">
        <f t="shared" si="3"/>
        <v>-399.05690000000027</v>
      </c>
      <c r="G19" s="5">
        <f t="shared" si="4"/>
        <v>399.05690000000027</v>
      </c>
      <c r="H19" s="5">
        <f t="shared" si="7"/>
        <v>159246.40943761021</v>
      </c>
      <c r="I19" s="2"/>
      <c r="J19" s="5">
        <f t="shared" si="5"/>
        <v>1468.3760040160641</v>
      </c>
      <c r="K19" s="5">
        <f t="shared" si="14"/>
        <v>1327.7433749531097</v>
      </c>
      <c r="L19" s="5">
        <f t="shared" si="8"/>
        <v>48.350754919390283</v>
      </c>
      <c r="M19" s="5">
        <f t="shared" si="15"/>
        <v>27.357298650299136</v>
      </c>
      <c r="N19" s="5">
        <f t="shared" si="9"/>
        <v>1355.1006736034087</v>
      </c>
      <c r="O19" s="5">
        <f t="shared" si="6"/>
        <v>1541.1707346948276</v>
      </c>
      <c r="P19" s="5">
        <f t="shared" si="10"/>
        <v>-128.82926530517238</v>
      </c>
      <c r="Q19" s="5">
        <f t="shared" si="11"/>
        <v>128.82926530517238</v>
      </c>
      <c r="R19" s="5">
        <f t="shared" si="12"/>
        <v>16596.979599070492</v>
      </c>
    </row>
    <row r="20" spans="1:18">
      <c r="B20" s="6" t="s">
        <v>8</v>
      </c>
      <c r="C20" s="7">
        <v>1523</v>
      </c>
      <c r="D20" s="10"/>
      <c r="E20" s="5">
        <f t="shared" si="13"/>
        <v>1390.6601699999997</v>
      </c>
      <c r="F20" s="5">
        <f t="shared" si="3"/>
        <v>-132.33983000000035</v>
      </c>
      <c r="G20" s="5">
        <f t="shared" si="4"/>
        <v>132.33983000000035</v>
      </c>
      <c r="H20" s="5">
        <f t="shared" si="7"/>
        <v>17513.830604428993</v>
      </c>
      <c r="I20" s="2"/>
      <c r="J20" s="5">
        <f t="shared" si="5"/>
        <v>1419.2787975525407</v>
      </c>
      <c r="K20" s="5">
        <f t="shared" si="14"/>
        <v>1389.0832727272052</v>
      </c>
      <c r="L20" s="5">
        <f t="shared" si="8"/>
        <v>61.339897774095562</v>
      </c>
      <c r="M20" s="5">
        <f t="shared" si="15"/>
        <v>29.056428606488957</v>
      </c>
      <c r="N20" s="5">
        <f t="shared" si="9"/>
        <v>1418.1397013336941</v>
      </c>
      <c r="O20" s="5">
        <f t="shared" si="6"/>
        <v>1521.7776583823454</v>
      </c>
      <c r="P20" s="5">
        <f t="shared" si="10"/>
        <v>-1.2223416176545925</v>
      </c>
      <c r="Q20" s="5">
        <f t="shared" si="11"/>
        <v>1.2223416176545925</v>
      </c>
      <c r="R20" s="5">
        <f t="shared" si="12"/>
        <v>1.4941190302504459</v>
      </c>
    </row>
    <row r="21" spans="1:18">
      <c r="B21" s="6" t="s">
        <v>9</v>
      </c>
      <c r="C21" s="7">
        <v>1386</v>
      </c>
      <c r="D21" s="10"/>
      <c r="E21" s="5">
        <f t="shared" si="13"/>
        <v>1430.3621189999997</v>
      </c>
      <c r="F21" s="5">
        <f t="shared" si="3"/>
        <v>44.362118999999666</v>
      </c>
      <c r="G21" s="5">
        <f t="shared" si="4"/>
        <v>44.362118999999666</v>
      </c>
      <c r="H21" s="5">
        <f t="shared" si="7"/>
        <v>1967.9976021701314</v>
      </c>
      <c r="I21" s="2"/>
      <c r="J21" s="5">
        <f t="shared" si="5"/>
        <v>1438.5653333333332</v>
      </c>
      <c r="K21" s="5">
        <f t="shared" si="14"/>
        <v>1418.4814301993479</v>
      </c>
      <c r="L21" s="5">
        <f t="shared" si="8"/>
        <v>29.398157472142657</v>
      </c>
      <c r="M21" s="5">
        <f t="shared" si="15"/>
        <v>29.073515049771643</v>
      </c>
      <c r="N21" s="5">
        <f t="shared" si="9"/>
        <v>1447.5549452491196</v>
      </c>
      <c r="O21" s="5">
        <f t="shared" si="6"/>
        <v>1394.6611305212043</v>
      </c>
      <c r="P21" s="5">
        <f t="shared" si="10"/>
        <v>8.6611305212043135</v>
      </c>
      <c r="Q21" s="5">
        <f t="shared" si="11"/>
        <v>8.6611305212043135</v>
      </c>
      <c r="R21" s="5">
        <f t="shared" si="12"/>
        <v>75.015181905336902</v>
      </c>
    </row>
    <row r="22" spans="1:18">
      <c r="B22" s="6" t="s">
        <v>10</v>
      </c>
      <c r="C22" s="7">
        <v>1351</v>
      </c>
      <c r="D22" s="10"/>
      <c r="E22" s="5">
        <f t="shared" si="13"/>
        <v>1417.0534832999997</v>
      </c>
      <c r="F22" s="5">
        <f t="shared" si="3"/>
        <v>66.053483299999698</v>
      </c>
      <c r="G22" s="5">
        <f t="shared" si="4"/>
        <v>66.053483299999698</v>
      </c>
      <c r="H22" s="5">
        <f t="shared" si="7"/>
        <v>4363.0626560633391</v>
      </c>
      <c r="I22" s="2"/>
      <c r="J22" s="5">
        <f t="shared" si="5"/>
        <v>1317.8927875243664</v>
      </c>
      <c r="K22" s="5">
        <f t="shared" si="14"/>
        <v>1444.8580616743836</v>
      </c>
      <c r="L22" s="5">
        <f t="shared" si="8"/>
        <v>26.376631475035765</v>
      </c>
      <c r="M22" s="5">
        <f t="shared" si="15"/>
        <v>28.938670871034848</v>
      </c>
      <c r="N22" s="5">
        <f t="shared" si="9"/>
        <v>1473.7967325454185</v>
      </c>
      <c r="O22" s="5">
        <f t="shared" si="6"/>
        <v>1510.820458627062</v>
      </c>
      <c r="P22" s="5">
        <f t="shared" si="10"/>
        <v>159.82045862706195</v>
      </c>
      <c r="Q22" s="5">
        <f t="shared" si="11"/>
        <v>159.82045862706195</v>
      </c>
      <c r="R22" s="5">
        <f t="shared" si="12"/>
        <v>25542.578995764423</v>
      </c>
    </row>
    <row r="23" spans="1:18">
      <c r="B23" s="6" t="s">
        <v>11</v>
      </c>
      <c r="C23" s="7">
        <v>1075</v>
      </c>
      <c r="D23" s="10"/>
      <c r="E23" s="5">
        <f t="shared" si="13"/>
        <v>1397.2374383099998</v>
      </c>
      <c r="F23" s="5">
        <f t="shared" si="3"/>
        <v>322.23743830999979</v>
      </c>
      <c r="G23" s="5">
        <f t="shared" si="4"/>
        <v>322.23743830999979</v>
      </c>
      <c r="H23" s="5">
        <f t="shared" si="7"/>
        <v>103836.96664859093</v>
      </c>
      <c r="I23" s="2"/>
      <c r="J23" s="5">
        <f t="shared" si="5"/>
        <v>1447.7989234909651</v>
      </c>
      <c r="K23" s="5">
        <f t="shared" si="14"/>
        <v>1427.0255490391028</v>
      </c>
      <c r="L23" s="5">
        <f t="shared" si="8"/>
        <v>-17.832512635280864</v>
      </c>
      <c r="M23" s="5">
        <f t="shared" si="15"/>
        <v>26.600111695719061</v>
      </c>
      <c r="N23" s="5">
        <f t="shared" si="9"/>
        <v>1453.6256607348218</v>
      </c>
      <c r="O23" s="5">
        <f t="shared" si="6"/>
        <v>1079.3263898290813</v>
      </c>
      <c r="P23" s="5">
        <f t="shared" si="10"/>
        <v>4.3263898290813358</v>
      </c>
      <c r="Q23" s="5">
        <f t="shared" si="11"/>
        <v>4.3263898290813358</v>
      </c>
      <c r="R23" s="5">
        <f t="shared" si="12"/>
        <v>18.717648953178429</v>
      </c>
    </row>
    <row r="24" spans="1:18">
      <c r="B24" s="6" t="s">
        <v>12</v>
      </c>
      <c r="C24" s="7">
        <v>1623</v>
      </c>
      <c r="D24" s="10"/>
      <c r="E24" s="5">
        <f t="shared" si="13"/>
        <v>1300.5662068169997</v>
      </c>
      <c r="F24" s="5">
        <f t="shared" si="3"/>
        <v>-322.43379318300026</v>
      </c>
      <c r="G24" s="5">
        <f t="shared" si="4"/>
        <v>322.43379318300026</v>
      </c>
      <c r="H24" s="5">
        <f t="shared" si="7"/>
        <v>103963.55098637778</v>
      </c>
      <c r="I24" s="2"/>
      <c r="J24" s="5">
        <f t="shared" si="5"/>
        <v>1347.8826458036983</v>
      </c>
      <c r="K24" s="5">
        <f t="shared" si="14"/>
        <v>1451.8776395616646</v>
      </c>
      <c r="L24" s="5">
        <f t="shared" si="8"/>
        <v>24.852090522561866</v>
      </c>
      <c r="M24" s="5">
        <f t="shared" si="15"/>
        <v>26.5127106370612</v>
      </c>
      <c r="N24" s="5">
        <f t="shared" si="9"/>
        <v>1478.3903501987259</v>
      </c>
      <c r="O24" s="5">
        <f t="shared" si="6"/>
        <v>1780.1457314125682</v>
      </c>
      <c r="P24" s="5">
        <f t="shared" si="10"/>
        <v>157.14573141256824</v>
      </c>
      <c r="Q24" s="5">
        <f t="shared" si="11"/>
        <v>157.14573141256824</v>
      </c>
      <c r="R24" s="5">
        <f t="shared" si="12"/>
        <v>24694.780901191036</v>
      </c>
    </row>
    <row r="25" spans="1:18">
      <c r="B25" s="6" t="s">
        <v>13</v>
      </c>
      <c r="C25" s="7">
        <v>1756</v>
      </c>
      <c r="D25" s="10"/>
      <c r="E25" s="5">
        <f t="shared" si="13"/>
        <v>1397.2963447718998</v>
      </c>
      <c r="F25" s="5">
        <f t="shared" si="3"/>
        <v>-358.70365522810016</v>
      </c>
      <c r="G25" s="5">
        <f t="shared" si="4"/>
        <v>358.70365522810016</v>
      </c>
      <c r="H25" s="5">
        <f t="shared" si="7"/>
        <v>128668.31227399975</v>
      </c>
      <c r="I25" s="2"/>
      <c r="J25" s="5">
        <f t="shared" si="5"/>
        <v>1364.2200044355732</v>
      </c>
      <c r="K25" s="5">
        <f t="shared" si="14"/>
        <v>1439.2380388802176</v>
      </c>
      <c r="L25" s="5">
        <f t="shared" si="8"/>
        <v>-12.639600681447064</v>
      </c>
      <c r="M25" s="5">
        <f t="shared" si="15"/>
        <v>24.555095071135788</v>
      </c>
      <c r="N25" s="5">
        <f t="shared" si="9"/>
        <v>1463.7931339513534</v>
      </c>
      <c r="O25" s="5">
        <f t="shared" si="6"/>
        <v>1884.1687813264782</v>
      </c>
      <c r="P25" s="5">
        <f t="shared" si="10"/>
        <v>128.16878132647821</v>
      </c>
      <c r="Q25" s="5">
        <f t="shared" si="11"/>
        <v>128.16878132647821</v>
      </c>
      <c r="R25" s="5">
        <f t="shared" si="12"/>
        <v>16427.236506714591</v>
      </c>
    </row>
    <row r="26" spans="1:18">
      <c r="B26" s="6" t="s">
        <v>14</v>
      </c>
      <c r="C26" s="7">
        <v>1346</v>
      </c>
      <c r="D26" s="10"/>
      <c r="E26" s="5">
        <f t="shared" si="13"/>
        <v>1504.9074413403298</v>
      </c>
      <c r="F26" s="5">
        <f t="shared" si="3"/>
        <v>158.9074413403298</v>
      </c>
      <c r="G26" s="5">
        <f t="shared" si="4"/>
        <v>158.9074413403298</v>
      </c>
      <c r="H26" s="5">
        <f t="shared" si="7"/>
        <v>25251.574913330354</v>
      </c>
      <c r="I26" s="2"/>
      <c r="J26" s="5">
        <f t="shared" si="5"/>
        <v>1471.6098626716605</v>
      </c>
      <c r="K26" s="5">
        <f t="shared" si="14"/>
        <v>1433.9211950966194</v>
      </c>
      <c r="L26" s="5">
        <f t="shared" si="8"/>
        <v>-5.3168437835981877</v>
      </c>
      <c r="M26" s="5">
        <f t="shared" si="15"/>
        <v>23.061498128399087</v>
      </c>
      <c r="N26" s="5">
        <f t="shared" si="9"/>
        <v>1456.9826932250185</v>
      </c>
      <c r="O26" s="5">
        <f t="shared" si="6"/>
        <v>1332.6213385934795</v>
      </c>
      <c r="P26" s="5">
        <f t="shared" si="10"/>
        <v>-13.37866140652045</v>
      </c>
      <c r="Q26" s="5">
        <f t="shared" si="11"/>
        <v>13.37866140652045</v>
      </c>
      <c r="R26" s="5">
        <f t="shared" si="12"/>
        <v>178.98858103031975</v>
      </c>
    </row>
    <row r="27" spans="1:18">
      <c r="B27" s="6" t="s">
        <v>15</v>
      </c>
      <c r="C27" s="7">
        <v>1031</v>
      </c>
      <c r="D27" s="10"/>
      <c r="E27" s="5">
        <f t="shared" si="13"/>
        <v>1457.2352089382307</v>
      </c>
      <c r="F27" s="5">
        <f t="shared" si="3"/>
        <v>426.2352089382307</v>
      </c>
      <c r="G27" s="5">
        <f t="shared" si="4"/>
        <v>426.2352089382307</v>
      </c>
      <c r="H27" s="5">
        <f t="shared" si="7"/>
        <v>181676.45333861717</v>
      </c>
      <c r="I27" s="2"/>
      <c r="J27" s="5">
        <f t="shared" si="5"/>
        <v>1229.6877766428329</v>
      </c>
      <c r="K27" s="5">
        <f t="shared" si="14"/>
        <v>1461.370844059011</v>
      </c>
      <c r="L27" s="5">
        <f t="shared" si="8"/>
        <v>27.44964896239162</v>
      </c>
      <c r="M27" s="5">
        <f t="shared" si="15"/>
        <v>23.280905670098711</v>
      </c>
      <c r="N27" s="5">
        <f t="shared" si="9"/>
        <v>1484.6517497291097</v>
      </c>
      <c r="O27" s="5">
        <f t="shared" si="6"/>
        <v>1244.7679671579776</v>
      </c>
      <c r="P27" s="5">
        <f t="shared" si="10"/>
        <v>213.76796715797764</v>
      </c>
      <c r="Q27" s="5">
        <f t="shared" si="11"/>
        <v>213.76796715797764</v>
      </c>
      <c r="R27" s="5">
        <f t="shared" si="12"/>
        <v>45696.743782854202</v>
      </c>
    </row>
    <row r="28" spans="1:18">
      <c r="A28" s="1" t="s">
        <v>3</v>
      </c>
      <c r="B28" s="6" t="s">
        <v>4</v>
      </c>
      <c r="C28" s="7">
        <v>1154</v>
      </c>
      <c r="D28" s="10"/>
      <c r="E28" s="5">
        <f t="shared" si="13"/>
        <v>1329.3646462567615</v>
      </c>
      <c r="F28" s="5">
        <f t="shared" si="3"/>
        <v>175.36464625676149</v>
      </c>
      <c r="G28" s="5">
        <f t="shared" si="4"/>
        <v>175.36464625676149</v>
      </c>
      <c r="H28" s="5">
        <f t="shared" si="7"/>
        <v>30752.75915675909</v>
      </c>
      <c r="I28" s="2"/>
      <c r="J28" s="5">
        <f t="shared" ref="J28:J39" si="16">C28/N2</f>
        <v>1533.7158086323454</v>
      </c>
      <c r="K28" s="5">
        <f t="shared" si="14"/>
        <v>1408.1625578032267</v>
      </c>
      <c r="L28" s="5">
        <f t="shared" si="8"/>
        <v>-53.208286255784287</v>
      </c>
      <c r="M28" s="5">
        <f t="shared" si="15"/>
        <v>19.45644607380456</v>
      </c>
      <c r="N28" s="5">
        <f t="shared" si="9"/>
        <v>1427.6190038770312</v>
      </c>
      <c r="O28" s="5">
        <f t="shared" ref="O28:O39" si="17">N28*N2</f>
        <v>1074.1705348549472</v>
      </c>
      <c r="P28" s="5">
        <f t="shared" si="10"/>
        <v>-79.829465145052836</v>
      </c>
      <c r="Q28" s="5">
        <f t="shared" si="11"/>
        <v>79.829465145052836</v>
      </c>
      <c r="R28" s="5">
        <f t="shared" si="12"/>
        <v>6372.7435053452054</v>
      </c>
    </row>
    <row r="29" spans="1:18">
      <c r="B29" s="6" t="s">
        <v>5</v>
      </c>
      <c r="C29" s="7">
        <v>1567</v>
      </c>
      <c r="D29" s="10"/>
      <c r="E29" s="5">
        <f t="shared" si="13"/>
        <v>1276.7552523797331</v>
      </c>
      <c r="F29" s="5">
        <f t="shared" si="3"/>
        <v>-290.24474762026693</v>
      </c>
      <c r="G29" s="5">
        <f t="shared" si="4"/>
        <v>290.24474762026693</v>
      </c>
      <c r="H29" s="5">
        <f t="shared" si="7"/>
        <v>84242.013521152447</v>
      </c>
      <c r="I29" s="2"/>
      <c r="J29" s="5">
        <f t="shared" si="16"/>
        <v>1623.3726185650587</v>
      </c>
      <c r="K29" s="5">
        <f t="shared" si="14"/>
        <v>1459.4480453036253</v>
      </c>
      <c r="L29" s="5">
        <f t="shared" si="8"/>
        <v>51.285487500398631</v>
      </c>
      <c r="M29" s="5">
        <f t="shared" si="15"/>
        <v>21.047898145134262</v>
      </c>
      <c r="N29" s="5">
        <f t="shared" si="9"/>
        <v>1480.4959434487596</v>
      </c>
      <c r="O29" s="5">
        <f t="shared" si="17"/>
        <v>1429.0848058253312</v>
      </c>
      <c r="P29" s="5">
        <f t="shared" si="10"/>
        <v>-137.91519417466884</v>
      </c>
      <c r="Q29" s="5">
        <f t="shared" si="11"/>
        <v>137.91519417466884</v>
      </c>
      <c r="R29" s="5">
        <f t="shared" si="12"/>
        <v>19020.600784236609</v>
      </c>
    </row>
    <row r="30" spans="1:18">
      <c r="B30" s="6" t="s">
        <v>6</v>
      </c>
      <c r="C30" s="7">
        <v>1709</v>
      </c>
      <c r="D30" s="10"/>
      <c r="E30" s="5">
        <f t="shared" si="13"/>
        <v>1363.828676665813</v>
      </c>
      <c r="F30" s="5">
        <f t="shared" si="3"/>
        <v>-345.17132333418704</v>
      </c>
      <c r="G30" s="5">
        <f t="shared" si="4"/>
        <v>345.17132333418704</v>
      </c>
      <c r="H30" s="5">
        <f t="shared" si="7"/>
        <v>119143.24245227389</v>
      </c>
      <c r="I30" s="2"/>
      <c r="J30" s="5">
        <f t="shared" si="16"/>
        <v>1564.3899534383957</v>
      </c>
      <c r="K30" s="5">
        <f t="shared" si="14"/>
        <v>1523.3589459836492</v>
      </c>
      <c r="L30" s="5">
        <f t="shared" si="8"/>
        <v>63.910900680023815</v>
      </c>
      <c r="M30" s="5">
        <f t="shared" si="15"/>
        <v>23.191048271878739</v>
      </c>
      <c r="N30" s="5">
        <f t="shared" si="9"/>
        <v>1546.549994255528</v>
      </c>
      <c r="O30" s="5">
        <f t="shared" si="17"/>
        <v>1689.5109396308064</v>
      </c>
      <c r="P30" s="5">
        <f t="shared" si="10"/>
        <v>-19.489060369193567</v>
      </c>
      <c r="Q30" s="5">
        <f t="shared" si="11"/>
        <v>19.489060369193567</v>
      </c>
      <c r="R30" s="5">
        <f t="shared" si="12"/>
        <v>379.82347407407127</v>
      </c>
    </row>
    <row r="31" spans="1:18">
      <c r="B31" s="6" t="s">
        <v>7</v>
      </c>
      <c r="C31" s="7">
        <v>1998</v>
      </c>
      <c r="D31" s="10"/>
      <c r="E31" s="5">
        <f t="shared" si="13"/>
        <v>1467.3800736660689</v>
      </c>
      <c r="F31" s="5">
        <f t="shared" si="3"/>
        <v>-530.61992633393106</v>
      </c>
      <c r="G31" s="5">
        <f t="shared" si="4"/>
        <v>530.61992633393106</v>
      </c>
      <c r="H31" s="5">
        <f t="shared" si="7"/>
        <v>281557.50622262643</v>
      </c>
      <c r="I31" s="2"/>
      <c r="J31" s="5">
        <f t="shared" si="16"/>
        <v>1703.2650100066712</v>
      </c>
      <c r="K31" s="5">
        <f t="shared" si="14"/>
        <v>1551.9019820103881</v>
      </c>
      <c r="L31" s="5">
        <f t="shared" si="8"/>
        <v>28.543036026738946</v>
      </c>
      <c r="M31" s="5">
        <f t="shared" si="15"/>
        <v>23.458647659621747</v>
      </c>
      <c r="N31" s="5">
        <f t="shared" si="9"/>
        <v>1575.3606296700098</v>
      </c>
      <c r="O31" s="5">
        <f t="shared" si="17"/>
        <v>1847.9628945517711</v>
      </c>
      <c r="P31" s="5">
        <f t="shared" si="10"/>
        <v>-150.03710544822889</v>
      </c>
      <c r="Q31" s="5">
        <f t="shared" si="11"/>
        <v>150.03710544822889</v>
      </c>
      <c r="R31" s="5">
        <f t="shared" si="12"/>
        <v>22511.133011282953</v>
      </c>
    </row>
    <row r="32" spans="1:18">
      <c r="B32" s="6" t="s">
        <v>8</v>
      </c>
      <c r="C32" s="7">
        <v>1891</v>
      </c>
      <c r="D32" s="10"/>
      <c r="E32" s="5">
        <f t="shared" si="13"/>
        <v>1626.566051566248</v>
      </c>
      <c r="F32" s="5">
        <f t="shared" si="3"/>
        <v>-264.43394843375199</v>
      </c>
      <c r="G32" s="5">
        <f t="shared" si="4"/>
        <v>264.43394843375199</v>
      </c>
      <c r="H32" s="5">
        <f t="shared" si="7"/>
        <v>69925.313084264213</v>
      </c>
      <c r="I32" s="2"/>
      <c r="J32" s="5">
        <f t="shared" si="16"/>
        <v>1740.9665886167147</v>
      </c>
      <c r="K32" s="5">
        <f t="shared" si="14"/>
        <v>1613.7319437710082</v>
      </c>
      <c r="L32" s="5">
        <f t="shared" si="8"/>
        <v>61.829961760620108</v>
      </c>
      <c r="M32" s="5">
        <f t="shared" si="15"/>
        <v>25.377213364671665</v>
      </c>
      <c r="N32" s="5">
        <f t="shared" si="9"/>
        <v>1639.1091571356799</v>
      </c>
      <c r="O32" s="5">
        <f t="shared" si="17"/>
        <v>1780.3646758128327</v>
      </c>
      <c r="P32" s="5">
        <f t="shared" si="10"/>
        <v>-110.63532418716727</v>
      </c>
      <c r="Q32" s="5">
        <f t="shared" si="11"/>
        <v>110.63532418716727</v>
      </c>
      <c r="R32" s="5">
        <f t="shared" si="12"/>
        <v>12240.174957999599</v>
      </c>
    </row>
    <row r="33" spans="1:18">
      <c r="B33" s="6" t="s">
        <v>9</v>
      </c>
      <c r="C33" s="7">
        <v>1639</v>
      </c>
      <c r="D33" s="10"/>
      <c r="E33" s="5">
        <f t="shared" si="13"/>
        <v>1705.8962360963735</v>
      </c>
      <c r="F33" s="5">
        <f t="shared" si="3"/>
        <v>66.896236096373514</v>
      </c>
      <c r="G33" s="5">
        <f t="shared" si="4"/>
        <v>66.896236096373514</v>
      </c>
      <c r="H33" s="5">
        <f t="shared" si="7"/>
        <v>4475.1064038617469</v>
      </c>
      <c r="I33" s="2"/>
      <c r="J33" s="5">
        <f t="shared" si="16"/>
        <v>1668.2095778574273</v>
      </c>
      <c r="K33" s="5">
        <f t="shared" si="14"/>
        <v>1669.6663865799901</v>
      </c>
      <c r="L33" s="5">
        <f t="shared" si="8"/>
        <v>55.934442808981885</v>
      </c>
      <c r="M33" s="5">
        <f t="shared" si="15"/>
        <v>26.905074836887174</v>
      </c>
      <c r="N33" s="5">
        <f t="shared" si="9"/>
        <v>1696.5714614168774</v>
      </c>
      <c r="O33" s="5">
        <f t="shared" si="17"/>
        <v>1666.8652801008623</v>
      </c>
      <c r="P33" s="5">
        <f t="shared" si="10"/>
        <v>27.865280100862265</v>
      </c>
      <c r="Q33" s="5">
        <f t="shared" si="11"/>
        <v>27.865280100862265</v>
      </c>
      <c r="R33" s="5">
        <f t="shared" si="12"/>
        <v>776.47383509951055</v>
      </c>
    </row>
    <row r="34" spans="1:18">
      <c r="B34" s="6" t="s">
        <v>10</v>
      </c>
      <c r="C34" s="7">
        <v>1504</v>
      </c>
      <c r="D34" s="10"/>
      <c r="E34" s="5">
        <f t="shared" si="13"/>
        <v>1685.8273652674613</v>
      </c>
      <c r="F34" s="5">
        <f t="shared" si="3"/>
        <v>181.82736526746135</v>
      </c>
      <c r="G34" s="5">
        <f t="shared" si="4"/>
        <v>181.82736526746135</v>
      </c>
      <c r="H34" s="5">
        <f t="shared" si="7"/>
        <v>33061.190760106809</v>
      </c>
      <c r="I34" s="2"/>
      <c r="J34" s="5">
        <f t="shared" si="16"/>
        <v>1508.5745682888539</v>
      </c>
      <c r="K34" s="5">
        <f t="shared" si="14"/>
        <v>1688.0628963490421</v>
      </c>
      <c r="L34" s="5">
        <f t="shared" si="8"/>
        <v>18.396509769052045</v>
      </c>
      <c r="M34" s="5">
        <f t="shared" si="15"/>
        <v>26.479646583495416</v>
      </c>
      <c r="N34" s="5">
        <f t="shared" si="9"/>
        <v>1714.5425429325376</v>
      </c>
      <c r="O34" s="5">
        <f t="shared" si="17"/>
        <v>1709.3434018945929</v>
      </c>
      <c r="P34" s="5">
        <f t="shared" si="10"/>
        <v>205.34340189459294</v>
      </c>
      <c r="Q34" s="5">
        <f t="shared" si="11"/>
        <v>205.34340189459294</v>
      </c>
      <c r="R34" s="5">
        <f t="shared" si="12"/>
        <v>42165.912701644316</v>
      </c>
    </row>
    <row r="35" spans="1:18">
      <c r="B35" s="6" t="s">
        <v>11</v>
      </c>
      <c r="C35" s="7">
        <v>1271</v>
      </c>
      <c r="D35" s="10"/>
      <c r="E35" s="5">
        <f t="shared" si="13"/>
        <v>1631.279155687223</v>
      </c>
      <c r="F35" s="5">
        <f t="shared" si="3"/>
        <v>360.27915568722301</v>
      </c>
      <c r="G35" s="5">
        <f t="shared" si="4"/>
        <v>360.27915568722301</v>
      </c>
      <c r="H35" s="5">
        <f t="shared" si="7"/>
        <v>129801.07002269827</v>
      </c>
      <c r="I35" s="2"/>
      <c r="J35" s="5">
        <f t="shared" si="16"/>
        <v>1672.6870494335735</v>
      </c>
      <c r="K35" s="5">
        <f t="shared" si="14"/>
        <v>1652.7521505394325</v>
      </c>
      <c r="L35" s="5">
        <f t="shared" si="8"/>
        <v>-35.310745809609671</v>
      </c>
      <c r="M35" s="5">
        <f t="shared" si="15"/>
        <v>23.39012696384016</v>
      </c>
      <c r="N35" s="5">
        <f t="shared" si="9"/>
        <v>1676.1422775032727</v>
      </c>
      <c r="O35" s="5">
        <f t="shared" si="17"/>
        <v>1273.6254731140978</v>
      </c>
      <c r="P35" s="5">
        <f t="shared" si="10"/>
        <v>2.6254731140977583</v>
      </c>
      <c r="Q35" s="5">
        <f t="shared" si="11"/>
        <v>2.6254731140977583</v>
      </c>
      <c r="R35" s="5">
        <f t="shared" si="12"/>
        <v>6.8931090728501809</v>
      </c>
    </row>
    <row r="36" spans="1:18">
      <c r="B36" s="6" t="s">
        <v>12</v>
      </c>
      <c r="C36" s="7">
        <v>1786</v>
      </c>
      <c r="D36" s="10"/>
      <c r="E36" s="5">
        <f t="shared" si="13"/>
        <v>1523.1954089810561</v>
      </c>
      <c r="F36" s="5">
        <f t="shared" si="3"/>
        <v>-262.80459101894394</v>
      </c>
      <c r="G36" s="5">
        <f t="shared" si="4"/>
        <v>262.80459101894394</v>
      </c>
      <c r="H36" s="5">
        <f t="shared" si="7"/>
        <v>69066.253060634393</v>
      </c>
      <c r="I36" s="2"/>
      <c r="J36" s="5">
        <f t="shared" si="16"/>
        <v>1506.9559260482006</v>
      </c>
      <c r="K36" s="5">
        <f t="shared" si="14"/>
        <v>1675.1057090823629</v>
      </c>
      <c r="L36" s="5">
        <f t="shared" si="8"/>
        <v>22.353558542930386</v>
      </c>
      <c r="M36" s="5">
        <f t="shared" si="15"/>
        <v>23.338298542794671</v>
      </c>
      <c r="N36" s="5">
        <f t="shared" si="9"/>
        <v>1698.4440076251576</v>
      </c>
      <c r="O36" s="5">
        <f t="shared" si="17"/>
        <v>2012.9460624460933</v>
      </c>
      <c r="P36" s="5">
        <f t="shared" si="10"/>
        <v>226.94606244609326</v>
      </c>
      <c r="Q36" s="5">
        <f t="shared" si="11"/>
        <v>226.94606244609326</v>
      </c>
      <c r="R36" s="5">
        <f t="shared" si="12"/>
        <v>51504.515259786065</v>
      </c>
    </row>
    <row r="37" spans="1:18">
      <c r="B37" s="6" t="s">
        <v>13</v>
      </c>
      <c r="C37" s="7">
        <v>1941</v>
      </c>
      <c r="D37" s="10"/>
      <c r="E37" s="5">
        <f t="shared" si="13"/>
        <v>1602.0367862867392</v>
      </c>
      <c r="F37" s="5">
        <f t="shared" si="3"/>
        <v>-338.96321371326076</v>
      </c>
      <c r="G37" s="5">
        <f t="shared" si="4"/>
        <v>338.96321371326076</v>
      </c>
      <c r="H37" s="5">
        <f t="shared" si="7"/>
        <v>114896.06025082168</v>
      </c>
      <c r="I37" s="2"/>
      <c r="J37" s="5">
        <f t="shared" si="16"/>
        <v>1522.1573335378951</v>
      </c>
      <c r="K37" s="5">
        <f t="shared" si="14"/>
        <v>1640.9975831520705</v>
      </c>
      <c r="L37" s="5">
        <f t="shared" si="8"/>
        <v>-34.108125930292317</v>
      </c>
      <c r="M37" s="5">
        <f t="shared" si="15"/>
        <v>20.465977319140318</v>
      </c>
      <c r="N37" s="5">
        <f t="shared" si="9"/>
        <v>1661.4635604712109</v>
      </c>
      <c r="O37" s="5">
        <f t="shared" si="17"/>
        <v>2118.6382641399496</v>
      </c>
      <c r="P37" s="5">
        <f t="shared" si="10"/>
        <v>177.63826413994957</v>
      </c>
      <c r="Q37" s="5">
        <f t="shared" si="11"/>
        <v>177.63826413994957</v>
      </c>
      <c r="R37" s="5">
        <f t="shared" si="12"/>
        <v>31555.352886654495</v>
      </c>
    </row>
    <row r="38" spans="1:18">
      <c r="B38" s="6" t="s">
        <v>14</v>
      </c>
      <c r="C38" s="7">
        <v>1606</v>
      </c>
      <c r="D38" s="10"/>
      <c r="E38" s="5">
        <f t="shared" si="13"/>
        <v>1703.7257504007173</v>
      </c>
      <c r="F38" s="5">
        <f t="shared" si="3"/>
        <v>97.725750400717288</v>
      </c>
      <c r="G38" s="5">
        <f t="shared" si="4"/>
        <v>97.725750400717288</v>
      </c>
      <c r="H38" s="5">
        <f t="shared" si="7"/>
        <v>9550.322291383296</v>
      </c>
      <c r="I38" s="2"/>
      <c r="J38" s="5">
        <f t="shared" si="16"/>
        <v>1700.3042667771335</v>
      </c>
      <c r="K38" s="5">
        <f t="shared" si="14"/>
        <v>1619.6716923912161</v>
      </c>
      <c r="L38" s="5">
        <f t="shared" si="8"/>
        <v>-21.325890760854463</v>
      </c>
      <c r="M38" s="5">
        <f t="shared" si="15"/>
        <v>18.376383915140579</v>
      </c>
      <c r="N38" s="5">
        <f t="shared" si="9"/>
        <v>1638.0480763063567</v>
      </c>
      <c r="O38" s="5">
        <f t="shared" si="17"/>
        <v>1547.196735284572</v>
      </c>
      <c r="P38" s="5">
        <f t="shared" si="10"/>
        <v>-58.803264715427986</v>
      </c>
      <c r="Q38" s="5">
        <f t="shared" si="11"/>
        <v>58.803264715427986</v>
      </c>
      <c r="R38" s="5">
        <f t="shared" si="12"/>
        <v>3457.8239411926979</v>
      </c>
    </row>
    <row r="39" spans="1:18">
      <c r="B39" s="6" t="s">
        <v>15</v>
      </c>
      <c r="C39" s="7">
        <v>1389</v>
      </c>
      <c r="D39" s="10"/>
      <c r="E39" s="5">
        <f t="shared" si="13"/>
        <v>1674.408025280502</v>
      </c>
      <c r="F39" s="5">
        <f t="shared" si="3"/>
        <v>285.40802528050199</v>
      </c>
      <c r="G39" s="5">
        <f t="shared" si="4"/>
        <v>285.40802528050199</v>
      </c>
      <c r="H39" s="5">
        <f t="shared" si="7"/>
        <v>81457.740894515664</v>
      </c>
      <c r="I39" s="2"/>
      <c r="J39" s="5">
        <f t="shared" si="16"/>
        <v>1766.1376865671641</v>
      </c>
      <c r="K39" s="5">
        <f t="shared" si="14"/>
        <v>1656.7249334475896</v>
      </c>
      <c r="L39" s="5">
        <f t="shared" si="8"/>
        <v>37.053241056373508</v>
      </c>
      <c r="M39" s="5">
        <f t="shared" si="15"/>
        <v>19.310226772202224</v>
      </c>
      <c r="N39" s="5">
        <f t="shared" si="9"/>
        <v>1676.0351602197918</v>
      </c>
      <c r="O39" s="5">
        <f t="shared" si="17"/>
        <v>1318.1377959666561</v>
      </c>
      <c r="P39" s="5">
        <f t="shared" si="10"/>
        <v>-70.862204033343914</v>
      </c>
      <c r="Q39" s="5">
        <f t="shared" si="11"/>
        <v>70.862204033343914</v>
      </c>
      <c r="R39" s="5">
        <f t="shared" si="12"/>
        <v>5021.4519604632624</v>
      </c>
    </row>
    <row r="40" spans="1:18">
      <c r="C40" s="5"/>
      <c r="D40" s="10"/>
      <c r="E40" s="8" t="s">
        <v>24</v>
      </c>
      <c r="F40" s="9" t="s">
        <v>51</v>
      </c>
      <c r="G40" s="9" t="s">
        <v>52</v>
      </c>
      <c r="H40" s="9" t="s">
        <v>55</v>
      </c>
      <c r="I40" s="9"/>
      <c r="J40" s="9"/>
      <c r="K40" s="8" t="s">
        <v>24</v>
      </c>
      <c r="L40" s="9"/>
      <c r="M40" s="9"/>
      <c r="N40" s="9"/>
      <c r="O40" s="9"/>
      <c r="P40" s="9" t="s">
        <v>51</v>
      </c>
      <c r="Q40" s="9" t="s">
        <v>52</v>
      </c>
      <c r="R40" s="9" t="s">
        <v>55</v>
      </c>
    </row>
    <row r="41" spans="1:18" s="13" customFormat="1">
      <c r="A41" s="13" t="s">
        <v>19</v>
      </c>
      <c r="C41" s="14">
        <f>AVERAGE(C16:C39)</f>
        <v>1504.6666666666667</v>
      </c>
      <c r="D41" s="15"/>
      <c r="E41" s="14"/>
      <c r="F41" s="16">
        <f>SUM(F16:F39)/24</f>
        <v>-66.123002457826857</v>
      </c>
      <c r="G41" s="16">
        <f>SUM(G16:G39)/24</f>
        <v>255.03940828095998</v>
      </c>
      <c r="H41" s="14">
        <f>SQRT(SUM(H16:H39)/24)</f>
        <v>285.02957400441267</v>
      </c>
      <c r="I41" s="16"/>
      <c r="J41" s="16"/>
      <c r="K41" s="14"/>
      <c r="L41" s="16"/>
      <c r="M41" s="16"/>
      <c r="N41" s="16"/>
      <c r="O41" s="16"/>
      <c r="P41" s="16">
        <f>SUM(P16:P39)/24</f>
        <v>4.3518430375468569</v>
      </c>
      <c r="Q41" s="16">
        <f>SUM(Q16:Q39)/24</f>
        <v>105.00723534328377</v>
      </c>
      <c r="R41" s="14">
        <f>SQRT(SUM(R16:R39)/24)</f>
        <v>128.19596908479105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25" sqref="B25"/>
    </sheetView>
  </sheetViews>
  <sheetFormatPr baseColWidth="10" defaultRowHeight="12.75"/>
  <cols>
    <col min="1" max="1" width="64.7109375" customWidth="1"/>
    <col min="2" max="2" width="27.42578125" style="22" customWidth="1"/>
    <col min="3" max="4" width="24.28515625" style="22" customWidth="1"/>
  </cols>
  <sheetData>
    <row r="1" spans="1:4" ht="18">
      <c r="A1" s="62" t="s">
        <v>16</v>
      </c>
      <c r="B1" s="31" t="s">
        <v>53</v>
      </c>
      <c r="C1" s="29"/>
      <c r="D1" s="29"/>
    </row>
    <row r="2" spans="1:4">
      <c r="A2" s="30"/>
      <c r="B2" s="29"/>
      <c r="C2" s="29"/>
      <c r="D2" s="29"/>
    </row>
    <row r="3" spans="1:4" ht="13.5" thickBot="1">
      <c r="A3" s="30"/>
      <c r="B3" s="29"/>
      <c r="C3" s="29"/>
      <c r="D3" s="29"/>
    </row>
    <row r="4" spans="1:4" s="1" customFormat="1" ht="16.5" thickBot="1">
      <c r="A4" s="32" t="s">
        <v>31</v>
      </c>
      <c r="B4" s="33" t="s">
        <v>30</v>
      </c>
      <c r="C4" s="33" t="s">
        <v>29</v>
      </c>
      <c r="D4" s="46" t="s">
        <v>57</v>
      </c>
    </row>
    <row r="5" spans="1:4" s="1" customFormat="1" ht="15.75">
      <c r="A5" s="34" t="s">
        <v>49</v>
      </c>
      <c r="B5" s="35">
        <f>Données!E58</f>
        <v>-17.083333333333332</v>
      </c>
      <c r="C5" s="48">
        <f>Données!F58</f>
        <v>233.66666666666666</v>
      </c>
      <c r="D5" s="47">
        <f>Données!G58</f>
        <v>269.65595363969499</v>
      </c>
    </row>
    <row r="6" spans="1:4" ht="15.75">
      <c r="A6" s="36" t="s">
        <v>32</v>
      </c>
      <c r="B6" s="37">
        <f>'Moyenne mobile'!F41</f>
        <v>-38.111111111111093</v>
      </c>
      <c r="C6" s="37">
        <f>'Moyenne mobile'!G41</f>
        <v>303.33333333333337</v>
      </c>
      <c r="D6" s="44">
        <f>'Moyenne mobile'!H41</f>
        <v>333.70637459366048</v>
      </c>
    </row>
    <row r="7" spans="1:4" ht="15.75">
      <c r="A7" s="36" t="s">
        <v>33</v>
      </c>
      <c r="B7" s="37">
        <f>'Moyenne mobile'!K41</f>
        <v>-63.590277777777793</v>
      </c>
      <c r="C7" s="37">
        <f>'Moyenne mobile'!L41</f>
        <v>247.20138888888891</v>
      </c>
      <c r="D7" s="44">
        <f>'Moyenne mobile'!M41</f>
        <v>283.24118395289383</v>
      </c>
    </row>
    <row r="8" spans="1:4" ht="15.75">
      <c r="A8" s="36" t="s">
        <v>34</v>
      </c>
      <c r="B8" s="37">
        <f>Lissage!F41</f>
        <v>-160.26591277418629</v>
      </c>
      <c r="C8" s="37">
        <f>Lissage!G41</f>
        <v>260.36346032059311</v>
      </c>
      <c r="D8" s="44">
        <f>Lissage!H41</f>
        <v>305.47539222183013</v>
      </c>
    </row>
    <row r="9" spans="1:4" ht="15.75">
      <c r="A9" s="36" t="s">
        <v>35</v>
      </c>
      <c r="B9" s="37">
        <f>Lissage!K41</f>
        <v>-38.840298073987164</v>
      </c>
      <c r="C9" s="37">
        <f>Lissage!L41</f>
        <v>258.35430797189474</v>
      </c>
      <c r="D9" s="44">
        <f>Lissage!M41</f>
        <v>284.91674372027182</v>
      </c>
    </row>
    <row r="10" spans="1:4" ht="15.75">
      <c r="A10" s="36" t="s">
        <v>58</v>
      </c>
      <c r="B10" s="37">
        <f>Tendance!F41</f>
        <v>-66.123002457826857</v>
      </c>
      <c r="C10" s="37">
        <f>Tendance!G41</f>
        <v>255.03940828095998</v>
      </c>
      <c r="D10" s="44">
        <f>Tendance!H41</f>
        <v>285.02957400441267</v>
      </c>
    </row>
    <row r="11" spans="1:4" ht="15.75">
      <c r="A11" s="36" t="s">
        <v>37</v>
      </c>
      <c r="B11" s="37">
        <f>Tendance!N41</f>
        <v>-21.715620616609709</v>
      </c>
      <c r="C11" s="37">
        <f>Tendance!O41</f>
        <v>261.74843656239136</v>
      </c>
      <c r="D11" s="44">
        <f>Tendance!P41</f>
        <v>285.9007002852502</v>
      </c>
    </row>
    <row r="12" spans="1:4" ht="15.75">
      <c r="A12" s="38" t="s">
        <v>36</v>
      </c>
      <c r="B12" s="39">
        <f>Saisonnalité!M41</f>
        <v>-55.104634116889059</v>
      </c>
      <c r="C12" s="39">
        <f>Saisonnalité!N41</f>
        <v>109.24734139782849</v>
      </c>
      <c r="D12" s="44">
        <f>Saisonnalité!O41</f>
        <v>121.87324807749962</v>
      </c>
    </row>
    <row r="13" spans="1:4" ht="16.5" thickBot="1">
      <c r="A13" s="40" t="s">
        <v>46</v>
      </c>
      <c r="B13" s="41">
        <f>'Tend+Saison'!P41</f>
        <v>4.3518430375468569</v>
      </c>
      <c r="C13" s="41">
        <f>'Tend+Saison'!Q41</f>
        <v>105.00723534328377</v>
      </c>
      <c r="D13" s="45">
        <f>'Tend+Saison'!R41</f>
        <v>128.19596908479105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16</vt:i4>
      </vt:variant>
    </vt:vector>
  </HeadingPairs>
  <TitlesOfParts>
    <vt:vector size="23" baseType="lpstr">
      <vt:lpstr>Données</vt:lpstr>
      <vt:lpstr>Moyenne mobile</vt:lpstr>
      <vt:lpstr>Lissage</vt:lpstr>
      <vt:lpstr>Tendance</vt:lpstr>
      <vt:lpstr>Saisonnalité</vt:lpstr>
      <vt:lpstr>Tend+Saison</vt:lpstr>
      <vt:lpstr>Recap</vt:lpstr>
      <vt:lpstr>A._1993</vt:lpstr>
      <vt:lpstr>A._1994</vt:lpstr>
      <vt:lpstr>A._1995</vt:lpstr>
      <vt:lpstr>alpha</vt:lpstr>
      <vt:lpstr>alpha01</vt:lpstr>
      <vt:lpstr>alpha05</vt:lpstr>
      <vt:lpstr>alphaT</vt:lpstr>
      <vt:lpstr>beta</vt:lpstr>
      <vt:lpstr>betaT</vt:lpstr>
      <vt:lpstr>Demande</vt:lpstr>
      <vt:lpstr>Droite</vt:lpstr>
      <vt:lpstr>MM</vt:lpstr>
      <vt:lpstr>Mois</vt:lpstr>
      <vt:lpstr>Serie93</vt:lpstr>
      <vt:lpstr>Serie94</vt:lpstr>
      <vt:lpstr>Serie95</vt:lpstr>
    </vt:vector>
  </TitlesOfParts>
  <Company>Dell Computer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Baglin</dc:creator>
  <cp:lastModifiedBy>GERARD</cp:lastModifiedBy>
  <dcterms:created xsi:type="dcterms:W3CDTF">1998-12-19T09:31:11Z</dcterms:created>
  <dcterms:modified xsi:type="dcterms:W3CDTF">2016-02-01T09:32:00Z</dcterms:modified>
</cp:coreProperties>
</file>