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90" windowWidth="9075" windowHeight="5325" tabRatio="300"/>
  </bookViews>
  <sheets>
    <sheet name="Dourlat 1" sheetId="1" r:id="rId1"/>
    <sheet name="Dourlat 2" sheetId="2" r:id="rId2"/>
  </sheets>
  <definedNames>
    <definedName name="_xlnm.Print_Area" localSheetId="0">'Dourlat 1'!$A$1:$H$169</definedName>
  </definedNames>
  <calcPr calcId="125725"/>
</workbook>
</file>

<file path=xl/calcChain.xml><?xml version="1.0" encoding="utf-8"?>
<calcChain xmlns="http://schemas.openxmlformats.org/spreadsheetml/2006/main">
  <c r="C20" i="2"/>
  <c r="B20"/>
  <c r="E119" i="1"/>
  <c r="E84"/>
  <c r="E96"/>
  <c r="E100"/>
  <c r="E79"/>
  <c r="E85"/>
  <c r="E86"/>
  <c r="C79"/>
  <c r="F20" i="2"/>
  <c r="H20"/>
  <c r="B25"/>
  <c r="D25"/>
  <c r="D29"/>
  <c r="I19"/>
  <c r="I18"/>
  <c r="I17"/>
  <c r="I16"/>
  <c r="I15"/>
  <c r="I14"/>
  <c r="I13"/>
  <c r="I12"/>
  <c r="I11"/>
  <c r="I10"/>
  <c r="I9"/>
  <c r="I8"/>
  <c r="G9"/>
  <c r="J9"/>
  <c r="K9"/>
  <c r="G10"/>
  <c r="J10"/>
  <c r="K10"/>
  <c r="G11"/>
  <c r="J11"/>
  <c r="K11"/>
  <c r="G12"/>
  <c r="J12"/>
  <c r="K12"/>
  <c r="G13"/>
  <c r="J13"/>
  <c r="K13"/>
  <c r="G14"/>
  <c r="J14"/>
  <c r="K14"/>
  <c r="G15"/>
  <c r="J15"/>
  <c r="K15"/>
  <c r="G16"/>
  <c r="J16"/>
  <c r="K16"/>
  <c r="G17"/>
  <c r="J17"/>
  <c r="K17"/>
  <c r="G18"/>
  <c r="J18"/>
  <c r="K18"/>
  <c r="G19"/>
  <c r="J19"/>
  <c r="K19"/>
  <c r="G8"/>
  <c r="J8"/>
  <c r="K8"/>
  <c r="D10"/>
  <c r="D12"/>
  <c r="D14"/>
  <c r="D16"/>
  <c r="D18"/>
  <c r="C9"/>
  <c r="D9"/>
  <c r="C10"/>
  <c r="C11"/>
  <c r="D11"/>
  <c r="C12"/>
  <c r="C13"/>
  <c r="D13"/>
  <c r="C14"/>
  <c r="C15"/>
  <c r="D15"/>
  <c r="C16"/>
  <c r="C17"/>
  <c r="D17"/>
  <c r="C18"/>
  <c r="C19"/>
  <c r="D19"/>
  <c r="C8"/>
  <c r="D8"/>
  <c r="D20"/>
  <c r="A40" i="1"/>
  <c r="C174"/>
  <c r="F174"/>
  <c r="H174"/>
  <c r="C175"/>
  <c r="F175"/>
  <c r="H175"/>
  <c r="C176"/>
  <c r="F176"/>
  <c r="H176"/>
  <c r="E113"/>
  <c r="E134"/>
  <c r="F159"/>
  <c r="G159"/>
  <c r="J43"/>
  <c r="B6"/>
  <c r="B7"/>
  <c r="A41"/>
  <c r="A43"/>
  <c r="D58"/>
  <c r="D53"/>
  <c r="D54"/>
  <c r="D62"/>
  <c r="F62"/>
  <c r="D63"/>
  <c r="D65"/>
  <c r="F65"/>
  <c r="D66"/>
  <c r="D68"/>
  <c r="F68"/>
  <c r="D69"/>
  <c r="I96"/>
  <c r="I93"/>
  <c r="H54"/>
  <c r="H52"/>
  <c r="H53"/>
  <c r="H50"/>
  <c r="D34"/>
  <c r="F140"/>
  <c r="G140"/>
  <c r="E109"/>
  <c r="E80"/>
  <c r="E120"/>
  <c r="E127"/>
  <c r="E128"/>
  <c r="F145"/>
  <c r="G145"/>
  <c r="F144"/>
  <c r="G148"/>
  <c r="G157"/>
  <c r="G158"/>
  <c r="B29"/>
  <c r="C28"/>
  <c r="D28"/>
  <c r="D27"/>
  <c r="D26"/>
  <c r="D25"/>
  <c r="D24"/>
  <c r="D23"/>
  <c r="C27"/>
  <c r="C26"/>
  <c r="C25"/>
  <c r="C24"/>
  <c r="C23"/>
  <c r="D17"/>
  <c r="C17"/>
  <c r="E143"/>
  <c r="F143"/>
  <c r="G143"/>
  <c r="F161"/>
  <c r="G161"/>
  <c r="K20" i="2"/>
  <c r="D71" i="1"/>
  <c r="B59"/>
  <c r="E59"/>
  <c r="E72"/>
  <c r="B8"/>
  <c r="B9"/>
  <c r="B10"/>
  <c r="B11"/>
  <c r="B12"/>
  <c r="B13"/>
  <c r="B14"/>
  <c r="B15"/>
  <c r="B16"/>
  <c r="E30"/>
  <c r="E31"/>
  <c r="E98"/>
  <c r="E101"/>
  <c r="H177"/>
  <c r="D32" i="2"/>
  <c r="E141" i="1"/>
  <c r="F141"/>
  <c r="G141"/>
  <c r="E88"/>
  <c r="E90"/>
  <c r="E91"/>
  <c r="E92"/>
  <c r="E103"/>
  <c r="B17"/>
  <c r="B30"/>
  <c r="B31"/>
  <c r="G150"/>
  <c r="B72"/>
  <c r="D75"/>
  <c r="G152"/>
  <c r="E108"/>
  <c r="E110"/>
  <c r="E104"/>
  <c r="E130"/>
  <c r="E131"/>
  <c r="F160"/>
  <c r="G160"/>
  <c r="G162"/>
  <c r="E142"/>
  <c r="F142"/>
  <c r="G151"/>
  <c r="G142"/>
  <c r="G146"/>
  <c r="F146"/>
  <c r="G149"/>
  <c r="G153"/>
  <c r="G164"/>
  <c r="H146"/>
  <c r="H153"/>
  <c r="H164"/>
  <c r="G168"/>
  <c r="H162"/>
</calcChain>
</file>

<file path=xl/sharedStrings.xml><?xml version="1.0" encoding="utf-8"?>
<sst xmlns="http://schemas.openxmlformats.org/spreadsheetml/2006/main" count="256" uniqueCount="161">
  <si>
    <t xml:space="preserve">   Cas Dourlat</t>
  </si>
  <si>
    <t>Stock</t>
  </si>
  <si>
    <t>Ventes</t>
  </si>
  <si>
    <t>Production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</si>
  <si>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</si>
  <si>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</si>
  <si>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</si>
  <si>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</si>
  <si>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</si>
  <si>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</si>
  <si>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</si>
  <si>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</si>
  <si>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</si>
  <si>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</si>
  <si>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</si>
  <si>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</si>
  <si>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Stock moyen</t>
  </si>
  <si>
    <t>tonnes</t>
  </si>
  <si>
    <t>Stock maxi</t>
  </si>
  <si>
    <t>palettes</t>
  </si>
  <si>
    <t>Stock retenu pour le calcul</t>
  </si>
  <si>
    <t>Hypothèses</t>
  </si>
  <si>
    <t>Commandes</t>
  </si>
  <si>
    <t>kg/palette</t>
  </si>
  <si>
    <t>commandes de détail/jour</t>
  </si>
  <si>
    <t>tonnes à stocker</t>
  </si>
  <si>
    <t>lignes /commande</t>
  </si>
  <si>
    <t>palettes à stocker</t>
  </si>
  <si>
    <t>cartons par ligne</t>
  </si>
  <si>
    <t>de remplissage</t>
  </si>
  <si>
    <t>commandes dépôts/jour</t>
  </si>
  <si>
    <t>palettes de capacité</t>
  </si>
  <si>
    <t>hauteurs de palettes</t>
  </si>
  <si>
    <t>palette par ligne</t>
  </si>
  <si>
    <t>références en stock</t>
  </si>
  <si>
    <t>C.O.S.</t>
  </si>
  <si>
    <t>Matériel utilisé</t>
  </si>
  <si>
    <t xml:space="preserve">Chariot élévateur </t>
  </si>
  <si>
    <t>Largeur d'allée</t>
  </si>
  <si>
    <t>m</t>
  </si>
  <si>
    <t>m2</t>
  </si>
  <si>
    <t>Surface de stockage nécessaire</t>
  </si>
  <si>
    <t>m2/palette</t>
  </si>
  <si>
    <t>Surfaces</t>
  </si>
  <si>
    <t>Surface totale de stockage</t>
  </si>
  <si>
    <t>sur</t>
  </si>
  <si>
    <t>Surface de réception</t>
  </si>
  <si>
    <t>jour d'activité soit</t>
  </si>
  <si>
    <t>tonnes ou</t>
  </si>
  <si>
    <t>Surface d'expédition</t>
  </si>
  <si>
    <t>Surface de préparation</t>
  </si>
  <si>
    <t>Surface totale</t>
  </si>
  <si>
    <t>Dimensions</t>
  </si>
  <si>
    <t xml:space="preserve">Hauteur </t>
  </si>
  <si>
    <t>Terrain</t>
  </si>
  <si>
    <t>Déchargement des véhicules</t>
  </si>
  <si>
    <t>mn/palette</t>
  </si>
  <si>
    <t>Contrôle, affectation</t>
  </si>
  <si>
    <t>Réception</t>
  </si>
  <si>
    <t>palettes/jour</t>
  </si>
  <si>
    <t>mn</t>
  </si>
  <si>
    <t>Mise en stock</t>
  </si>
  <si>
    <t>Temps de prise d'une palette au sol</t>
  </si>
  <si>
    <t>cmn</t>
  </si>
  <si>
    <t>Distance moyenne de dépose</t>
  </si>
  <si>
    <t>Temps de déplacement avec une palette</t>
  </si>
  <si>
    <t>cmn/m/palette</t>
  </si>
  <si>
    <t>soit</t>
  </si>
  <si>
    <t>Temps de dépose au niveau 3</t>
  </si>
  <si>
    <t>Retour à vide</t>
  </si>
  <si>
    <t>Temps de déplacement à vide</t>
  </si>
  <si>
    <t>total</t>
  </si>
  <si>
    <t>cmn/palette</t>
  </si>
  <si>
    <t xml:space="preserve">Appro zone de préparation </t>
  </si>
  <si>
    <t>Déplacement vers lieu de prise</t>
  </si>
  <si>
    <t>Distance moyenne</t>
  </si>
  <si>
    <t>Prise au niveau 3 et dépose au niveau 1</t>
  </si>
  <si>
    <t xml:space="preserve">Sorties palettes entières (pour dépôts) </t>
  </si>
  <si>
    <t>Dépose</t>
  </si>
  <si>
    <t>Activité</t>
  </si>
  <si>
    <t>Préparation des commandes de détail</t>
  </si>
  <si>
    <t>cartons par jour</t>
  </si>
  <si>
    <t>Chargement des véhicules</t>
  </si>
  <si>
    <t>Contrôle</t>
  </si>
  <si>
    <t>Chargement</t>
  </si>
  <si>
    <t>Détermination des effectifs</t>
  </si>
  <si>
    <t>Manutentionnaires</t>
  </si>
  <si>
    <t>Charge de travail</t>
  </si>
  <si>
    <t>Effectif</t>
  </si>
  <si>
    <t>Caristes</t>
  </si>
  <si>
    <t>Préparateurs</t>
  </si>
  <si>
    <t>Productivité</t>
  </si>
  <si>
    <t>colis/personne/heure</t>
  </si>
  <si>
    <t>Coût d'exploitation</t>
  </si>
  <si>
    <t>Amortissements</t>
  </si>
  <si>
    <t>Prix/unité</t>
  </si>
  <si>
    <t>Quantité</t>
  </si>
  <si>
    <t>Bâtiment</t>
  </si>
  <si>
    <t>Casiers</t>
  </si>
  <si>
    <t>Chariots élévateurs</t>
  </si>
  <si>
    <t>Chariots de préparation</t>
  </si>
  <si>
    <t>Palettes</t>
  </si>
  <si>
    <t>Assurance</t>
  </si>
  <si>
    <t>par an</t>
  </si>
  <si>
    <t>Entretien du bâtiment</t>
  </si>
  <si>
    <t>Entretien matériel</t>
  </si>
  <si>
    <t>EDF, chauffage, etc.</t>
  </si>
  <si>
    <t>Salaires plus charges</t>
  </si>
  <si>
    <t>Directeur</t>
  </si>
  <si>
    <t>Secrétaire</t>
  </si>
  <si>
    <t>coût total</t>
  </si>
  <si>
    <t>hors terrain</t>
  </si>
  <si>
    <t>hors frais financiers</t>
  </si>
  <si>
    <t>C.A.</t>
  </si>
  <si>
    <t>€/m2</t>
  </si>
  <si>
    <t>Invest (K€)</t>
  </si>
  <si>
    <t>Amort. (K€)</t>
  </si>
  <si>
    <t>K€/an</t>
  </si>
  <si>
    <t>M€</t>
  </si>
  <si>
    <t>longueur palette (m)</t>
  </si>
  <si>
    <t>largeur palette (m)</t>
  </si>
  <si>
    <t>Case jaune = donnée à entrer</t>
  </si>
  <si>
    <t>K€ / an</t>
  </si>
  <si>
    <t>Pertes, destruction palettes</t>
  </si>
  <si>
    <t>Progiciel</t>
  </si>
  <si>
    <t>Total</t>
  </si>
  <si>
    <t>/ans</t>
  </si>
  <si>
    <t>Livraisons</t>
  </si>
  <si>
    <t>palettes / jour</t>
  </si>
  <si>
    <t>Clients &lt; 50 km</t>
  </si>
  <si>
    <t>Clients 50-150 km</t>
  </si>
  <si>
    <t>Clients &gt;150 km</t>
  </si>
  <si>
    <t>Tours/jour</t>
  </si>
  <si>
    <t>Coût/tour</t>
  </si>
  <si>
    <t>Base</t>
  </si>
  <si>
    <t>Largeur de la demi-maille</t>
  </si>
  <si>
    <t>Evaluation de la sous-traitance</t>
  </si>
  <si>
    <t xml:space="preserve">Stockage : </t>
  </si>
  <si>
    <t>€</t>
  </si>
  <si>
    <t>/ palette pour 10 jours</t>
  </si>
  <si>
    <t>Coût</t>
  </si>
  <si>
    <t>Coût (€)</t>
  </si>
  <si>
    <t>Manutention E/S palette</t>
  </si>
  <si>
    <t>Entrée (t)</t>
  </si>
  <si>
    <t>Sorties (t)</t>
  </si>
  <si>
    <t>Mouvements</t>
  </si>
  <si>
    <t>Préparation</t>
  </si>
  <si>
    <t>€ /colis</t>
  </si>
  <si>
    <t>€ / mouvement</t>
  </si>
  <si>
    <t>Cartons</t>
  </si>
  <si>
    <t>kg</t>
  </si>
  <si>
    <t>Nb de cartons</t>
  </si>
  <si>
    <t>Coût d'exploitation total</t>
  </si>
  <si>
    <t>Surface moyenne occupée au sol par une palette</t>
  </si>
  <si>
    <t>m²</t>
  </si>
  <si>
    <t>Horaire journalier</t>
  </si>
  <si>
    <t>max</t>
  </si>
  <si>
    <t>Nb de jours par mois</t>
  </si>
  <si>
    <t>t / mois</t>
  </si>
  <si>
    <t>Arrondies</t>
  </si>
  <si>
    <t>(tonnes)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</si>
</sst>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%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left"/>
    </xf>
    <xf numFmtId="17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73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7" xfId="0" applyBorder="1" applyAlignment="1"/>
    <xf numFmtId="0" fontId="0" fillId="0" borderId="11" xfId="0" applyBorder="1"/>
    <xf numFmtId="1" fontId="1" fillId="0" borderId="0" xfId="0" applyNumberFormat="1" applyFont="1" applyBorder="1" applyAlignment="1">
      <alignment horizontal="center"/>
    </xf>
    <xf numFmtId="0" fontId="0" fillId="0" borderId="0" xfId="0" applyBorder="1" applyAlignment="1"/>
    <xf numFmtId="1" fontId="0" fillId="0" borderId="0" xfId="0" applyNumberFormat="1" applyBorder="1" applyAlignment="1">
      <alignment horizontal="center"/>
    </xf>
    <xf numFmtId="0" fontId="1" fillId="0" borderId="7" xfId="0" applyFont="1" applyBorder="1"/>
    <xf numFmtId="172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72" fontId="0" fillId="0" borderId="5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172" fontId="0" fillId="0" borderId="6" xfId="0" applyNumberFormat="1" applyBorder="1"/>
    <xf numFmtId="0" fontId="3" fillId="0" borderId="7" xfId="0" applyFont="1" applyBorder="1"/>
    <xf numFmtId="172" fontId="0" fillId="0" borderId="8" xfId="0" applyNumberFormat="1" applyBorder="1"/>
    <xf numFmtId="1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73" fontId="0" fillId="0" borderId="2" xfId="0" applyNumberFormat="1" applyBorder="1"/>
    <xf numFmtId="0" fontId="0" fillId="0" borderId="3" xfId="0" applyBorder="1" applyAlignment="1">
      <alignment horizontal="center"/>
    </xf>
    <xf numFmtId="0" fontId="5" fillId="0" borderId="0" xfId="0" applyFont="1"/>
    <xf numFmtId="173" fontId="0" fillId="0" borderId="0" xfId="0" applyNumberFormat="1"/>
    <xf numFmtId="0" fontId="0" fillId="2" borderId="0" xfId="0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1" fontId="0" fillId="0" borderId="17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1" fontId="1" fillId="0" borderId="23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9" xfId="0" applyBorder="1"/>
    <xf numFmtId="3" fontId="1" fillId="0" borderId="0" xfId="0" applyNumberFormat="1" applyFont="1"/>
    <xf numFmtId="3" fontId="0" fillId="0" borderId="4" xfId="0" applyNumberForma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quotePrefix="1"/>
    <xf numFmtId="3" fontId="1" fillId="0" borderId="4" xfId="0" applyNumberFormat="1" applyFont="1" applyFill="1" applyBorder="1" applyAlignment="1">
      <alignment horizontal="center"/>
    </xf>
    <xf numFmtId="3" fontId="0" fillId="0" borderId="0" xfId="0" applyNumberFormat="1"/>
    <xf numFmtId="3" fontId="1" fillId="2" borderId="0" xfId="0" applyNumberFormat="1" applyFont="1" applyFill="1"/>
    <xf numFmtId="1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5" xfId="0" applyNumberFormat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right"/>
    </xf>
    <xf numFmtId="9" fontId="0" fillId="2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4" xfId="0" applyFill="1" applyBorder="1"/>
    <xf numFmtId="10" fontId="0" fillId="0" borderId="4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312500000000001"/>
          <c:y val="0.10204081632653061"/>
          <c:w val="0.63437500000000002"/>
          <c:h val="0.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'Dourlat 1'!$A$5:$A$16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'Dourlat 1'!$B$5:$B$16</c:f>
              <c:numCache>
                <c:formatCode>General</c:formatCode>
                <c:ptCount val="12"/>
                <c:pt idx="0">
                  <c:v>1700</c:v>
                </c:pt>
                <c:pt idx="1">
                  <c:v>1800</c:v>
                </c:pt>
                <c:pt idx="2">
                  <c:v>1900</c:v>
                </c:pt>
                <c:pt idx="3">
                  <c:v>1800</c:v>
                </c:pt>
                <c:pt idx="4">
                  <c:v>2000</c:v>
                </c:pt>
                <c:pt idx="5">
                  <c:v>2400</c:v>
                </c:pt>
                <c:pt idx="6">
                  <c:v>2200</c:v>
                </c:pt>
                <c:pt idx="7">
                  <c:v>1800</c:v>
                </c:pt>
                <c:pt idx="8">
                  <c:v>1700</c:v>
                </c:pt>
                <c:pt idx="9">
                  <c:v>1900</c:v>
                </c:pt>
                <c:pt idx="10">
                  <c:v>1800</c:v>
                </c:pt>
                <c:pt idx="11">
                  <c:v>1900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'Dourlat 1'!$A$5:$A$16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'Dourlat 1'!$C$5:$C$16</c:f>
              <c:numCache>
                <c:formatCode>General</c:formatCode>
                <c:ptCount val="12"/>
                <c:pt idx="0">
                  <c:v>1900</c:v>
                </c:pt>
                <c:pt idx="1">
                  <c:v>2000</c:v>
                </c:pt>
                <c:pt idx="2">
                  <c:v>2500</c:v>
                </c:pt>
                <c:pt idx="3">
                  <c:v>2200</c:v>
                </c:pt>
                <c:pt idx="4">
                  <c:v>1800</c:v>
                </c:pt>
                <c:pt idx="5">
                  <c:v>2000</c:v>
                </c:pt>
                <c:pt idx="6">
                  <c:v>2200</c:v>
                </c:pt>
                <c:pt idx="7">
                  <c:v>1700</c:v>
                </c:pt>
                <c:pt idx="8">
                  <c:v>2300</c:v>
                </c:pt>
                <c:pt idx="9">
                  <c:v>2600</c:v>
                </c:pt>
                <c:pt idx="10">
                  <c:v>2400</c:v>
                </c:pt>
                <c:pt idx="11">
                  <c:v>2600</c:v>
                </c:pt>
              </c:numCache>
            </c:numRef>
          </c:val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'Dourlat 1'!$A$5:$A$16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'Dourlat 1'!$D$5:$D$16</c:f>
              <c:numCache>
                <c:formatCode>General</c:formatCode>
                <c:ptCount val="12"/>
                <c:pt idx="0">
                  <c:v>2000</c:v>
                </c:pt>
                <c:pt idx="1">
                  <c:v>2100</c:v>
                </c:pt>
                <c:pt idx="2">
                  <c:v>2400</c:v>
                </c:pt>
                <c:pt idx="3">
                  <c:v>2400</c:v>
                </c:pt>
                <c:pt idx="4">
                  <c:v>2200</c:v>
                </c:pt>
                <c:pt idx="5">
                  <c:v>1800</c:v>
                </c:pt>
                <c:pt idx="6">
                  <c:v>1800</c:v>
                </c:pt>
                <c:pt idx="7">
                  <c:v>1600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</c:numCache>
            </c:numRef>
          </c:val>
        </c:ser>
        <c:axId val="134768896"/>
        <c:axId val="134778880"/>
      </c:barChart>
      <c:catAx>
        <c:axId val="1347688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778880"/>
        <c:crosses val="autoZero"/>
        <c:lblAlgn val="ctr"/>
        <c:lblOffset val="100"/>
        <c:tickLblSkip val="2"/>
        <c:tickMarkSkip val="1"/>
      </c:catAx>
      <c:valAx>
        <c:axId val="13477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76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87500000000002"/>
          <c:y val="0.2857142857142857"/>
          <c:w val="0.15312499999999996"/>
          <c:h val="0.23673469387755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2630691399662726E-2"/>
          <c:y val="7.7160726395900839E-2"/>
          <c:w val="0.88532883642495785"/>
          <c:h val="0.7283972571773038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'Dourlat 1'!$A$5:$A$16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'Dourlat 1'!$B$5:$B$16</c:f>
              <c:numCache>
                <c:formatCode>General</c:formatCode>
                <c:ptCount val="12"/>
                <c:pt idx="0">
                  <c:v>1700</c:v>
                </c:pt>
                <c:pt idx="1">
                  <c:v>1800</c:v>
                </c:pt>
                <c:pt idx="2">
                  <c:v>1900</c:v>
                </c:pt>
                <c:pt idx="3">
                  <c:v>1800</c:v>
                </c:pt>
                <c:pt idx="4">
                  <c:v>2000</c:v>
                </c:pt>
                <c:pt idx="5">
                  <c:v>2400</c:v>
                </c:pt>
                <c:pt idx="6">
                  <c:v>2200</c:v>
                </c:pt>
                <c:pt idx="7">
                  <c:v>1800</c:v>
                </c:pt>
                <c:pt idx="8">
                  <c:v>1700</c:v>
                </c:pt>
                <c:pt idx="9">
                  <c:v>1900</c:v>
                </c:pt>
                <c:pt idx="10">
                  <c:v>1800</c:v>
                </c:pt>
                <c:pt idx="11">
                  <c:v>1900</c:v>
                </c:pt>
              </c:numCache>
            </c:numRef>
          </c:val>
        </c:ser>
        <c:axId val="134790144"/>
        <c:axId val="135275264"/>
      </c:barChart>
      <c:catAx>
        <c:axId val="134790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275264"/>
        <c:crosses val="autoZero"/>
        <c:lblAlgn val="ctr"/>
        <c:lblOffset val="100"/>
        <c:tickLblSkip val="1"/>
        <c:tickMarkSkip val="1"/>
      </c:catAx>
      <c:valAx>
        <c:axId val="13527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79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</xdr:row>
      <xdr:rowOff>28575</xdr:rowOff>
    </xdr:from>
    <xdr:to>
      <xdr:col>9</xdr:col>
      <xdr:colOff>219075</xdr:colOff>
      <xdr:row>17</xdr:row>
      <xdr:rowOff>95250</xdr:rowOff>
    </xdr:to>
    <xdr:graphicFrame macro="">
      <xdr:nvGraphicFramePr>
        <xdr:cNvPr id="1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647700</xdr:colOff>
      <xdr:row>18</xdr:row>
      <xdr:rowOff>76200</xdr:rowOff>
    </xdr:from>
    <xdr:to>
      <xdr:col>16</xdr:col>
      <xdr:colOff>200025</xdr:colOff>
      <xdr:row>37</xdr:row>
      <xdr:rowOff>85725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134</xdr:row>
      <xdr:rowOff>0</xdr:rowOff>
    </xdr:from>
    <xdr:to>
      <xdr:col>5</xdr:col>
      <xdr:colOff>752475</xdr:colOff>
      <xdr:row>134</xdr:row>
      <xdr:rowOff>0</xdr:rowOff>
    </xdr:to>
    <xdr:sp macro="" textlink="">
      <xdr:nvSpPr>
        <xdr:cNvPr id="1091" name="Rectangle 3"/>
        <xdr:cNvSpPr>
          <a:spLocks noChangeArrowheads="1"/>
        </xdr:cNvSpPr>
      </xdr:nvSpPr>
      <xdr:spPr bwMode="auto">
        <a:xfrm>
          <a:off x="752475" y="21897975"/>
          <a:ext cx="4391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134</xdr:row>
      <xdr:rowOff>0</xdr:rowOff>
    </xdr:from>
    <xdr:to>
      <xdr:col>1</xdr:col>
      <xdr:colOff>200025</xdr:colOff>
      <xdr:row>134</xdr:row>
      <xdr:rowOff>0</xdr:rowOff>
    </xdr:to>
    <xdr:sp macro="" textlink="">
      <xdr:nvSpPr>
        <xdr:cNvPr id="1092" name="Rectangle 4"/>
        <xdr:cNvSpPr>
          <a:spLocks noChangeArrowheads="1"/>
        </xdr:cNvSpPr>
      </xdr:nvSpPr>
      <xdr:spPr bwMode="auto">
        <a:xfrm>
          <a:off x="1638300" y="21897975"/>
          <a:ext cx="104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134</xdr:row>
      <xdr:rowOff>0</xdr:rowOff>
    </xdr:from>
    <xdr:to>
      <xdr:col>1</xdr:col>
      <xdr:colOff>295275</xdr:colOff>
      <xdr:row>134</xdr:row>
      <xdr:rowOff>0</xdr:rowOff>
    </xdr:to>
    <xdr:sp macro="" textlink="">
      <xdr:nvSpPr>
        <xdr:cNvPr id="1093" name="Rectangle 5"/>
        <xdr:cNvSpPr>
          <a:spLocks noChangeArrowheads="1"/>
        </xdr:cNvSpPr>
      </xdr:nvSpPr>
      <xdr:spPr bwMode="auto">
        <a:xfrm>
          <a:off x="1733550" y="21897975"/>
          <a:ext cx="104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134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1094" name="Rectangle 6"/>
        <xdr:cNvSpPr>
          <a:spLocks noChangeArrowheads="1"/>
        </xdr:cNvSpPr>
      </xdr:nvSpPr>
      <xdr:spPr bwMode="auto">
        <a:xfrm>
          <a:off x="1543050" y="21897975"/>
          <a:ext cx="3609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workbookViewId="0">
      <selection activeCell="A68" sqref="A68"/>
    </sheetView>
  </sheetViews>
  <sheetFormatPr baseColWidth="10" defaultRowHeight="12.75"/>
  <cols>
    <col min="1" max="1" width="23.140625" customWidth="1"/>
    <col min="2" max="2" width="8.7109375" style="1" customWidth="1"/>
    <col min="3" max="3" width="11.7109375" style="1" customWidth="1"/>
    <col min="4" max="4" width="10.85546875" style="1" customWidth="1"/>
    <col min="8" max="8" width="12" customWidth="1"/>
  </cols>
  <sheetData>
    <row r="1" spans="1:6" ht="30">
      <c r="A1" s="64"/>
      <c r="D1" s="15" t="s">
        <v>0</v>
      </c>
      <c r="E1" s="16"/>
      <c r="F1" s="17"/>
    </row>
    <row r="4" spans="1:6">
      <c r="A4" s="125" t="s">
        <v>160</v>
      </c>
      <c r="B4" s="19" t="s">
        <v>1</v>
      </c>
      <c r="C4" s="19" t="s">
        <v>2</v>
      </c>
      <c r="D4" s="19" t="s">
        <v>3</v>
      </c>
    </row>
    <row r="5" spans="1:6">
      <c r="A5" s="18" t="s">
        <v>4</v>
      </c>
      <c r="B5" s="110">
        <v>1700</v>
      </c>
      <c r="C5" s="110">
        <v>1900</v>
      </c>
      <c r="D5" s="110">
        <v>2000</v>
      </c>
    </row>
    <row r="6" spans="1:6">
      <c r="A6" s="18" t="s">
        <v>5</v>
      </c>
      <c r="B6" s="110">
        <f>B5-C5+D5</f>
        <v>1800</v>
      </c>
      <c r="C6" s="110">
        <v>2000</v>
      </c>
      <c r="D6" s="110">
        <v>2100</v>
      </c>
    </row>
    <row r="7" spans="1:6">
      <c r="A7" s="18" t="s">
        <v>6</v>
      </c>
      <c r="B7" s="110">
        <f t="shared" ref="B7:B16" si="0">B6-C6+D6</f>
        <v>1900</v>
      </c>
      <c r="C7" s="110">
        <v>2500</v>
      </c>
      <c r="D7" s="110">
        <v>2400</v>
      </c>
    </row>
    <row r="8" spans="1:6">
      <c r="A8" s="18" t="s">
        <v>7</v>
      </c>
      <c r="B8" s="110">
        <f t="shared" si="0"/>
        <v>1800</v>
      </c>
      <c r="C8" s="110">
        <v>2200</v>
      </c>
      <c r="D8" s="110">
        <v>2400</v>
      </c>
    </row>
    <row r="9" spans="1:6">
      <c r="A9" s="18" t="s">
        <v>8</v>
      </c>
      <c r="B9" s="110">
        <f t="shared" si="0"/>
        <v>2000</v>
      </c>
      <c r="C9" s="110">
        <v>1800</v>
      </c>
      <c r="D9" s="110">
        <v>2200</v>
      </c>
    </row>
    <row r="10" spans="1:6">
      <c r="A10" s="18" t="s">
        <v>9</v>
      </c>
      <c r="B10" s="110">
        <f t="shared" si="0"/>
        <v>2400</v>
      </c>
      <c r="C10" s="110">
        <v>2000</v>
      </c>
      <c r="D10" s="110">
        <v>1800</v>
      </c>
    </row>
    <row r="11" spans="1:6">
      <c r="A11" s="18" t="s">
        <v>10</v>
      </c>
      <c r="B11" s="110">
        <f t="shared" si="0"/>
        <v>2200</v>
      </c>
      <c r="C11" s="110">
        <v>2200</v>
      </c>
      <c r="D11" s="110">
        <v>1800</v>
      </c>
    </row>
    <row r="12" spans="1:6">
      <c r="A12" s="18" t="s">
        <v>11</v>
      </c>
      <c r="B12" s="110">
        <f t="shared" si="0"/>
        <v>1800</v>
      </c>
      <c r="C12" s="110">
        <v>1700</v>
      </c>
      <c r="D12" s="110">
        <v>1600</v>
      </c>
    </row>
    <row r="13" spans="1:6">
      <c r="A13" s="18" t="s">
        <v>12</v>
      </c>
      <c r="B13" s="110">
        <f t="shared" si="0"/>
        <v>1700</v>
      </c>
      <c r="C13" s="110">
        <v>2300</v>
      </c>
      <c r="D13" s="110">
        <v>2500</v>
      </c>
    </row>
    <row r="14" spans="1:6">
      <c r="A14" s="18" t="s">
        <v>13</v>
      </c>
      <c r="B14" s="110">
        <f t="shared" si="0"/>
        <v>1900</v>
      </c>
      <c r="C14" s="110">
        <v>2600</v>
      </c>
      <c r="D14" s="110">
        <v>2500</v>
      </c>
    </row>
    <row r="15" spans="1:6">
      <c r="A15" s="18" t="s">
        <v>14</v>
      </c>
      <c r="B15" s="110">
        <f t="shared" si="0"/>
        <v>1800</v>
      </c>
      <c r="C15" s="110">
        <v>2400</v>
      </c>
      <c r="D15" s="110">
        <v>2500</v>
      </c>
    </row>
    <row r="16" spans="1:6">
      <c r="A16" s="18" t="s">
        <v>15</v>
      </c>
      <c r="B16" s="110">
        <f t="shared" si="0"/>
        <v>1900</v>
      </c>
      <c r="C16" s="110">
        <v>2600</v>
      </c>
      <c r="D16" s="110">
        <v>2500</v>
      </c>
    </row>
    <row r="17" spans="1:9">
      <c r="A17" s="18"/>
      <c r="B17" s="21">
        <f>AVERAGE(B5:B16)</f>
        <v>1908.3333333333333</v>
      </c>
      <c r="C17" s="19">
        <f>SUM(C5:C16)</f>
        <v>26200</v>
      </c>
      <c r="D17" s="19">
        <f>SUM(D5:D16)</f>
        <v>26300</v>
      </c>
    </row>
    <row r="20" spans="1:9">
      <c r="A20" t="s">
        <v>157</v>
      </c>
      <c r="D20" s="66">
        <v>21</v>
      </c>
    </row>
    <row r="23" spans="1:9">
      <c r="A23" s="20">
        <v>2400</v>
      </c>
      <c r="B23" s="21">
        <v>1</v>
      </c>
      <c r="C23" s="22">
        <f t="shared" ref="C23:C28" si="1">B23/$B$29</f>
        <v>8.3333333333333329E-2</v>
      </c>
      <c r="D23" s="22">
        <f>D24+C23</f>
        <v>1</v>
      </c>
      <c r="G23" s="6"/>
      <c r="I23" s="6"/>
    </row>
    <row r="24" spans="1:9">
      <c r="A24" s="20">
        <v>2200</v>
      </c>
      <c r="B24" s="20">
        <v>1</v>
      </c>
      <c r="C24" s="22">
        <f t="shared" si="1"/>
        <v>8.3333333333333329E-2</v>
      </c>
      <c r="D24" s="22">
        <f>D25+C24</f>
        <v>0.91666666666666674</v>
      </c>
      <c r="G24" s="6"/>
      <c r="I24" s="6"/>
    </row>
    <row r="25" spans="1:9">
      <c r="A25" s="20">
        <v>2000</v>
      </c>
      <c r="B25" s="20">
        <v>1</v>
      </c>
      <c r="C25" s="22">
        <f t="shared" si="1"/>
        <v>8.3333333333333329E-2</v>
      </c>
      <c r="D25" s="22">
        <f>D26+C25</f>
        <v>0.83333333333333337</v>
      </c>
      <c r="G25" s="6"/>
      <c r="I25" s="6"/>
    </row>
    <row r="26" spans="1:9">
      <c r="A26" s="20">
        <v>1900</v>
      </c>
      <c r="B26" s="20">
        <v>3</v>
      </c>
      <c r="C26" s="22">
        <f t="shared" si="1"/>
        <v>0.25</v>
      </c>
      <c r="D26" s="22">
        <f>D27+C26</f>
        <v>0.75</v>
      </c>
      <c r="G26" s="6"/>
      <c r="I26" s="6"/>
    </row>
    <row r="27" spans="1:9">
      <c r="A27" s="20">
        <v>1800</v>
      </c>
      <c r="B27" s="20">
        <v>4</v>
      </c>
      <c r="C27" s="22">
        <f t="shared" si="1"/>
        <v>0.33333333333333331</v>
      </c>
      <c r="D27" s="22">
        <f>D28+C27</f>
        <v>0.5</v>
      </c>
      <c r="G27" s="6"/>
      <c r="I27" s="6"/>
    </row>
    <row r="28" spans="1:9">
      <c r="A28" s="20">
        <v>1700</v>
      </c>
      <c r="B28" s="20">
        <v>2</v>
      </c>
      <c r="C28" s="22">
        <f t="shared" si="1"/>
        <v>0.16666666666666666</v>
      </c>
      <c r="D28" s="22">
        <f>C28</f>
        <v>0.16666666666666666</v>
      </c>
    </row>
    <row r="29" spans="1:9">
      <c r="A29" s="20"/>
      <c r="B29" s="21">
        <f>SUM(B23:B28)</f>
        <v>12</v>
      </c>
      <c r="C29" s="20"/>
      <c r="D29" s="20"/>
    </row>
    <row r="30" spans="1:9">
      <c r="A30" t="s">
        <v>16</v>
      </c>
      <c r="B30" s="14">
        <f>B17</f>
        <v>1908.3333333333333</v>
      </c>
      <c r="C30" t="s">
        <v>17</v>
      </c>
      <c r="D30" s="1" t="s">
        <v>18</v>
      </c>
      <c r="E30" s="1">
        <f>MAX(B5:B16)</f>
        <v>2400</v>
      </c>
    </row>
    <row r="31" spans="1:9">
      <c r="B31" s="6">
        <f>B30*1000/$A$39</f>
        <v>3816.6666666666665</v>
      </c>
      <c r="C31" t="s">
        <v>19</v>
      </c>
      <c r="E31" s="6">
        <f>E30*1000/A39</f>
        <v>4800</v>
      </c>
    </row>
    <row r="33" spans="1:10">
      <c r="A33" s="5" t="s">
        <v>20</v>
      </c>
      <c r="B33" s="5"/>
      <c r="D33" s="66">
        <v>2400</v>
      </c>
      <c r="E33" t="s">
        <v>17</v>
      </c>
      <c r="F33" s="3" t="s">
        <v>121</v>
      </c>
    </row>
    <row r="34" spans="1:10">
      <c r="D34" s="6">
        <f>D33*1000/$A$39</f>
        <v>4800</v>
      </c>
      <c r="E34" t="s">
        <v>19</v>
      </c>
    </row>
    <row r="37" spans="1:10">
      <c r="A37" s="32" t="s">
        <v>21</v>
      </c>
      <c r="B37" s="33"/>
      <c r="C37" s="24"/>
      <c r="E37" s="31" t="s">
        <v>22</v>
      </c>
      <c r="F37" s="23"/>
      <c r="G37" s="23"/>
      <c r="H37" s="24"/>
    </row>
    <row r="38" spans="1:10">
      <c r="A38" s="25"/>
      <c r="B38" s="11"/>
      <c r="C38" s="26"/>
      <c r="E38" s="25"/>
      <c r="F38" s="13"/>
      <c r="G38" s="11"/>
      <c r="H38" s="26"/>
    </row>
    <row r="39" spans="1:10">
      <c r="A39" s="67">
        <v>500</v>
      </c>
      <c r="B39" s="11" t="s">
        <v>23</v>
      </c>
      <c r="C39" s="26"/>
      <c r="E39" s="27">
        <v>100</v>
      </c>
      <c r="F39" s="13" t="s">
        <v>24</v>
      </c>
      <c r="G39" s="11"/>
      <c r="H39" s="26"/>
    </row>
    <row r="40" spans="1:10">
      <c r="A40" s="68">
        <f>D33</f>
        <v>2400</v>
      </c>
      <c r="B40" s="13" t="s">
        <v>25</v>
      </c>
      <c r="C40" s="26"/>
      <c r="E40" s="27"/>
      <c r="F40" s="11">
        <v>15</v>
      </c>
      <c r="G40" s="13" t="s">
        <v>26</v>
      </c>
      <c r="H40" s="26"/>
    </row>
    <row r="41" spans="1:10">
      <c r="A41" s="71">
        <f>A40/(A39/1000)</f>
        <v>4800</v>
      </c>
      <c r="B41" s="13" t="s">
        <v>27</v>
      </c>
      <c r="C41" s="26"/>
      <c r="E41" s="27"/>
      <c r="F41" s="11">
        <v>10</v>
      </c>
      <c r="G41" s="13" t="s">
        <v>28</v>
      </c>
      <c r="H41" s="26"/>
    </row>
    <row r="42" spans="1:10">
      <c r="A42" s="69">
        <v>0.8</v>
      </c>
      <c r="B42" s="13" t="s">
        <v>29</v>
      </c>
      <c r="C42" s="26"/>
      <c r="E42" s="27">
        <v>2</v>
      </c>
      <c r="F42" s="13" t="s">
        <v>30</v>
      </c>
      <c r="G42" s="11"/>
      <c r="H42" s="26"/>
    </row>
    <row r="43" spans="1:10">
      <c r="A43" s="71">
        <f>A41/A42</f>
        <v>6000</v>
      </c>
      <c r="B43" s="13" t="s">
        <v>31</v>
      </c>
      <c r="C43" s="26"/>
      <c r="E43" s="27"/>
      <c r="F43" s="11">
        <v>8</v>
      </c>
      <c r="G43" s="13" t="s">
        <v>26</v>
      </c>
      <c r="H43" s="26"/>
      <c r="J43">
        <f>15000/77</f>
        <v>194.80519480519482</v>
      </c>
    </row>
    <row r="44" spans="1:10">
      <c r="A44" s="68">
        <v>4</v>
      </c>
      <c r="B44" s="13" t="s">
        <v>32</v>
      </c>
      <c r="C44" s="26"/>
      <c r="E44" s="27"/>
      <c r="F44" s="11">
        <v>1</v>
      </c>
      <c r="G44" s="13" t="s">
        <v>33</v>
      </c>
      <c r="H44" s="26"/>
    </row>
    <row r="45" spans="1:10">
      <c r="A45" s="68">
        <v>0.8</v>
      </c>
      <c r="B45" s="13" t="s">
        <v>119</v>
      </c>
      <c r="C45" s="26"/>
      <c r="E45" s="28"/>
      <c r="F45" s="29"/>
      <c r="G45" s="29"/>
      <c r="H45" s="30"/>
    </row>
    <row r="46" spans="1:10">
      <c r="A46" s="68">
        <v>1.2</v>
      </c>
      <c r="B46" s="13" t="s">
        <v>120</v>
      </c>
      <c r="C46" s="26"/>
    </row>
    <row r="47" spans="1:10">
      <c r="A47" s="68">
        <v>200</v>
      </c>
      <c r="B47" s="13" t="s">
        <v>34</v>
      </c>
      <c r="C47" s="26"/>
    </row>
    <row r="48" spans="1:10">
      <c r="A48" s="70">
        <v>0.5</v>
      </c>
      <c r="B48" s="34" t="s">
        <v>35</v>
      </c>
      <c r="C48" s="30"/>
    </row>
    <row r="49" spans="1:8">
      <c r="A49" s="1"/>
      <c r="B49" s="5"/>
    </row>
    <row r="50" spans="1:8">
      <c r="A50" s="32" t="s">
        <v>36</v>
      </c>
      <c r="B50" s="33"/>
      <c r="C50" s="33"/>
      <c r="D50" s="33"/>
      <c r="E50" s="35"/>
      <c r="H50">
        <f>(5.5*1.4)/8</f>
        <v>0.96249999999999991</v>
      </c>
    </row>
    <row r="51" spans="1:8">
      <c r="A51" s="25" t="s">
        <v>37</v>
      </c>
      <c r="B51" s="11"/>
      <c r="C51" s="11"/>
      <c r="D51" s="11"/>
      <c r="E51" s="36"/>
    </row>
    <row r="52" spans="1:8">
      <c r="A52" s="37" t="s">
        <v>38</v>
      </c>
      <c r="B52" s="11"/>
      <c r="C52" s="11"/>
      <c r="D52" s="72">
        <v>3.5</v>
      </c>
      <c r="E52" s="36" t="s">
        <v>39</v>
      </c>
      <c r="H52">
        <f>6000*(2.8+3.5)/8</f>
        <v>4725</v>
      </c>
    </row>
    <row r="53" spans="1:8">
      <c r="A53" s="25" t="s">
        <v>135</v>
      </c>
      <c r="B53" s="11"/>
      <c r="C53" s="11"/>
      <c r="D53" s="11">
        <f>((A46+2*0.1)+0.5*D52)*(A45+2*0.1)</f>
        <v>3.15</v>
      </c>
      <c r="E53" s="36" t="s">
        <v>39</v>
      </c>
      <c r="H53">
        <f>SQRT(H52) * SQRT(2)</f>
        <v>97.211110476117909</v>
      </c>
    </row>
    <row r="54" spans="1:8">
      <c r="A54" s="28" t="s">
        <v>41</v>
      </c>
      <c r="B54" s="29"/>
      <c r="C54" s="29"/>
      <c r="D54" s="29">
        <f>D53/A44</f>
        <v>0.78749999999999998</v>
      </c>
      <c r="E54" s="38" t="s">
        <v>42</v>
      </c>
      <c r="H54">
        <f>2600/42</f>
        <v>61.904761904761905</v>
      </c>
    </row>
    <row r="57" spans="1:8">
      <c r="A57" s="32" t="s">
        <v>43</v>
      </c>
      <c r="B57" s="33"/>
      <c r="C57" s="33"/>
      <c r="D57" s="33"/>
      <c r="E57" s="23"/>
      <c r="F57" s="23"/>
      <c r="G57" s="35"/>
    </row>
    <row r="58" spans="1:8">
      <c r="A58" s="25" t="s">
        <v>44</v>
      </c>
      <c r="B58" s="11"/>
      <c r="C58" s="11"/>
      <c r="D58" s="39">
        <f>A43*D54</f>
        <v>4725</v>
      </c>
      <c r="E58" s="12" t="s">
        <v>154</v>
      </c>
      <c r="F58" s="12"/>
      <c r="G58" s="36"/>
    </row>
    <row r="59" spans="1:8">
      <c r="A59" s="25"/>
      <c r="B59" s="11">
        <f>INT((D58/2)^0.5)+1</f>
        <v>49</v>
      </c>
      <c r="C59" s="11" t="s">
        <v>39</v>
      </c>
      <c r="D59" s="11" t="s">
        <v>45</v>
      </c>
      <c r="E59" s="11">
        <f>INT(D58/B59)+1</f>
        <v>97</v>
      </c>
      <c r="F59" s="12" t="s">
        <v>39</v>
      </c>
      <c r="G59" s="36"/>
    </row>
    <row r="60" spans="1:8">
      <c r="A60" s="25" t="s">
        <v>153</v>
      </c>
      <c r="B60" s="11"/>
      <c r="C60" s="11"/>
      <c r="D60" s="72">
        <v>2</v>
      </c>
      <c r="E60" s="11" t="s">
        <v>154</v>
      </c>
      <c r="F60" s="12"/>
      <c r="G60" s="36"/>
    </row>
    <row r="61" spans="1:8">
      <c r="A61" s="25" t="s">
        <v>46</v>
      </c>
      <c r="B61" s="11"/>
      <c r="C61" s="11"/>
      <c r="D61" s="11"/>
      <c r="E61" s="12"/>
      <c r="F61" s="12"/>
      <c r="G61" s="36"/>
    </row>
    <row r="62" spans="1:8">
      <c r="A62" s="68">
        <v>0.5</v>
      </c>
      <c r="B62" s="40" t="s">
        <v>47</v>
      </c>
      <c r="C62" s="11"/>
      <c r="D62" s="41">
        <f>MAX(D5:D16)*A62/21</f>
        <v>59.523809523809526</v>
      </c>
      <c r="E62" s="12" t="s">
        <v>48</v>
      </c>
      <c r="F62" s="41">
        <f>D62*1000/A39</f>
        <v>119.04761904761905</v>
      </c>
      <c r="G62" s="36" t="s">
        <v>19</v>
      </c>
    </row>
    <row r="63" spans="1:8">
      <c r="A63" s="25"/>
      <c r="B63" s="12"/>
      <c r="C63" s="12"/>
      <c r="D63" s="39">
        <f>2*F62</f>
        <v>238.0952380952381</v>
      </c>
      <c r="E63" s="13" t="s">
        <v>40</v>
      </c>
      <c r="F63" s="41"/>
      <c r="G63" s="36"/>
    </row>
    <row r="64" spans="1:8">
      <c r="A64" s="25" t="s">
        <v>49</v>
      </c>
      <c r="B64" s="11"/>
      <c r="C64" s="11"/>
      <c r="D64" s="11"/>
      <c r="E64" s="13"/>
      <c r="F64" s="12"/>
      <c r="G64" s="36"/>
    </row>
    <row r="65" spans="1:7">
      <c r="A65" s="68">
        <v>0.5</v>
      </c>
      <c r="B65" s="40" t="s">
        <v>47</v>
      </c>
      <c r="C65" s="11"/>
      <c r="D65" s="41">
        <f>MAX($C$5:$C$16)*A65/21</f>
        <v>61.904761904761905</v>
      </c>
      <c r="E65" s="13" t="s">
        <v>48</v>
      </c>
      <c r="F65" s="41">
        <f>$D$65*1000/$A$39</f>
        <v>123.80952380952381</v>
      </c>
      <c r="G65" s="36" t="s">
        <v>19</v>
      </c>
    </row>
    <row r="66" spans="1:7">
      <c r="A66" s="25"/>
      <c r="B66" s="12"/>
      <c r="C66" s="12"/>
      <c r="D66" s="39">
        <f>2*$F$65</f>
        <v>247.61904761904762</v>
      </c>
      <c r="E66" s="13" t="s">
        <v>40</v>
      </c>
      <c r="F66" s="41"/>
      <c r="G66" s="36"/>
    </row>
    <row r="67" spans="1:7">
      <c r="A67" s="25" t="s">
        <v>50</v>
      </c>
      <c r="B67" s="11"/>
      <c r="C67" s="11"/>
      <c r="D67" s="11"/>
      <c r="E67" s="12"/>
      <c r="F67" s="12"/>
      <c r="G67" s="36"/>
    </row>
    <row r="68" spans="1:7">
      <c r="A68" s="68">
        <v>1</v>
      </c>
      <c r="B68" s="40" t="s">
        <v>47</v>
      </c>
      <c r="C68" s="11"/>
      <c r="D68" s="41">
        <f>MAX($C$5:$C$16)*A68/21</f>
        <v>123.80952380952381</v>
      </c>
      <c r="E68" s="13" t="s">
        <v>48</v>
      </c>
      <c r="F68" s="41">
        <f>$D$68*1000/$A$39</f>
        <v>247.61904761904762</v>
      </c>
      <c r="G68" s="36" t="s">
        <v>19</v>
      </c>
    </row>
    <row r="69" spans="1:7">
      <c r="A69" s="25"/>
      <c r="B69" s="40"/>
      <c r="C69" s="11"/>
      <c r="D69" s="39">
        <f>2*$F$68</f>
        <v>495.23809523809524</v>
      </c>
      <c r="E69" s="13" t="s">
        <v>154</v>
      </c>
      <c r="F69" s="41"/>
      <c r="G69" s="36"/>
    </row>
    <row r="70" spans="1:7" ht="11.25" customHeight="1">
      <c r="A70" s="25"/>
      <c r="B70" s="40"/>
      <c r="C70" s="11"/>
      <c r="D70" s="11"/>
      <c r="E70" s="12"/>
      <c r="F70" s="12"/>
      <c r="G70" s="36"/>
    </row>
    <row r="71" spans="1:7">
      <c r="A71" s="42" t="s">
        <v>51</v>
      </c>
      <c r="B71" s="11"/>
      <c r="C71" s="11"/>
      <c r="D71" s="39">
        <f>D58+D63+D66+D69</f>
        <v>5705.9523809523816</v>
      </c>
      <c r="E71" s="13" t="s">
        <v>154</v>
      </c>
      <c r="F71" s="12"/>
      <c r="G71" s="36"/>
    </row>
    <row r="72" spans="1:7">
      <c r="A72" s="25" t="s">
        <v>52</v>
      </c>
      <c r="B72" s="43">
        <f>D71/E72</f>
        <v>58.824251350024554</v>
      </c>
      <c r="C72" s="11" t="s">
        <v>39</v>
      </c>
      <c r="D72" s="11" t="s">
        <v>45</v>
      </c>
      <c r="E72" s="11">
        <f>E59</f>
        <v>97</v>
      </c>
      <c r="F72" s="12" t="s">
        <v>39</v>
      </c>
      <c r="G72" s="36"/>
    </row>
    <row r="73" spans="1:7">
      <c r="A73" s="25" t="s">
        <v>159</v>
      </c>
      <c r="B73" s="114">
        <v>60</v>
      </c>
      <c r="C73" s="11" t="s">
        <v>39</v>
      </c>
      <c r="D73" s="11"/>
      <c r="E73" s="115">
        <v>100</v>
      </c>
      <c r="F73" s="12" t="s">
        <v>39</v>
      </c>
      <c r="G73" s="36"/>
    </row>
    <row r="74" spans="1:7">
      <c r="A74" s="25" t="s">
        <v>53</v>
      </c>
      <c r="B74" s="11">
        <v>7.5</v>
      </c>
      <c r="C74" s="11" t="s">
        <v>39</v>
      </c>
      <c r="D74" s="11"/>
      <c r="E74" s="12"/>
      <c r="F74" s="12"/>
      <c r="G74" s="36"/>
    </row>
    <row r="75" spans="1:7">
      <c r="A75" s="28" t="s">
        <v>54</v>
      </c>
      <c r="B75" s="29"/>
      <c r="C75" s="29"/>
      <c r="D75" s="44">
        <f>D71/A48</f>
        <v>11411.904761904763</v>
      </c>
      <c r="E75" s="45" t="s">
        <v>154</v>
      </c>
      <c r="F75" s="45"/>
      <c r="G75" s="38"/>
    </row>
    <row r="76" spans="1:7">
      <c r="D76" s="6"/>
    </row>
    <row r="77" spans="1:7">
      <c r="A77" s="32" t="s">
        <v>55</v>
      </c>
      <c r="B77" s="33"/>
      <c r="C77" s="33"/>
      <c r="D77" s="33"/>
      <c r="E77" s="111">
        <v>2.5</v>
      </c>
      <c r="F77" s="23" t="s">
        <v>56</v>
      </c>
      <c r="G77" s="35"/>
    </row>
    <row r="78" spans="1:7">
      <c r="A78" s="25" t="s">
        <v>57</v>
      </c>
      <c r="B78" s="11"/>
      <c r="C78" s="11"/>
      <c r="D78" s="11"/>
      <c r="E78" s="72">
        <v>1</v>
      </c>
      <c r="F78" s="12" t="s">
        <v>56</v>
      </c>
      <c r="G78" s="36"/>
    </row>
    <row r="79" spans="1:7">
      <c r="A79" s="25" t="s">
        <v>58</v>
      </c>
      <c r="B79" s="11" t="s">
        <v>156</v>
      </c>
      <c r="C79" s="11">
        <f>MAX(D5:D16)</f>
        <v>2500</v>
      </c>
      <c r="D79" s="112" t="s">
        <v>158</v>
      </c>
      <c r="E79" s="116">
        <f>ROUND(MAX(D5:D16)*1000/(A39*D20),0)</f>
        <v>238</v>
      </c>
      <c r="F79" s="12" t="s">
        <v>59</v>
      </c>
      <c r="G79" s="36"/>
    </row>
    <row r="80" spans="1:7">
      <c r="A80" s="117" t="s">
        <v>86</v>
      </c>
      <c r="B80" s="29"/>
      <c r="C80" s="29"/>
      <c r="D80" s="29"/>
      <c r="E80" s="48">
        <f>E79*(E77+E78)</f>
        <v>833</v>
      </c>
      <c r="F80" s="45" t="s">
        <v>60</v>
      </c>
      <c r="G80" s="38"/>
    </row>
    <row r="81" spans="1:9">
      <c r="D81" s="7"/>
    </row>
    <row r="82" spans="1:9">
      <c r="A82" s="32" t="s">
        <v>61</v>
      </c>
      <c r="B82" s="33"/>
      <c r="C82" s="33"/>
      <c r="D82" s="33"/>
      <c r="E82" s="23"/>
      <c r="F82" s="23"/>
      <c r="G82" s="35"/>
    </row>
    <row r="83" spans="1:9">
      <c r="A83" s="25" t="s">
        <v>62</v>
      </c>
      <c r="B83" s="11"/>
      <c r="C83" s="11"/>
      <c r="D83" s="11"/>
      <c r="E83" s="109">
        <v>25</v>
      </c>
      <c r="F83" s="12" t="s">
        <v>63</v>
      </c>
      <c r="G83" s="36"/>
    </row>
    <row r="84" spans="1:9">
      <c r="A84" s="25" t="s">
        <v>64</v>
      </c>
      <c r="B84" s="11"/>
      <c r="C84" s="11"/>
      <c r="D84" s="12"/>
      <c r="E84" s="43">
        <f>E73/4+B73/2</f>
        <v>55</v>
      </c>
      <c r="F84" s="12" t="s">
        <v>39</v>
      </c>
      <c r="G84" s="36"/>
    </row>
    <row r="85" spans="1:9">
      <c r="A85" s="25" t="s">
        <v>65</v>
      </c>
      <c r="B85" s="11"/>
      <c r="C85" s="11"/>
      <c r="D85" s="12"/>
      <c r="E85" s="72">
        <f>0.74</f>
        <v>0.74</v>
      </c>
      <c r="F85" s="12" t="s">
        <v>66</v>
      </c>
      <c r="G85" s="36"/>
    </row>
    <row r="86" spans="1:9">
      <c r="A86" s="25"/>
      <c r="B86" s="11"/>
      <c r="C86" s="11"/>
      <c r="D86" s="12" t="s">
        <v>67</v>
      </c>
      <c r="E86" s="43">
        <f>E84*E85</f>
        <v>40.700000000000003</v>
      </c>
      <c r="F86" s="12" t="s">
        <v>63</v>
      </c>
      <c r="G86" s="36"/>
    </row>
    <row r="87" spans="1:9">
      <c r="A87" s="25" t="s">
        <v>68</v>
      </c>
      <c r="B87" s="11"/>
      <c r="C87" s="11"/>
      <c r="D87" s="11"/>
      <c r="E87" s="109">
        <v>125</v>
      </c>
      <c r="F87" s="12" t="s">
        <v>63</v>
      </c>
      <c r="G87" s="36"/>
    </row>
    <row r="88" spans="1:9">
      <c r="A88" s="25" t="s">
        <v>69</v>
      </c>
      <c r="B88" s="12"/>
      <c r="C88" s="12"/>
      <c r="D88" s="12"/>
      <c r="E88" s="43">
        <f>E84</f>
        <v>55</v>
      </c>
      <c r="F88" s="113" t="s">
        <v>39</v>
      </c>
      <c r="G88" s="36"/>
    </row>
    <row r="89" spans="1:9">
      <c r="A89" s="25" t="s">
        <v>70</v>
      </c>
      <c r="B89" s="12"/>
      <c r="C89" s="12"/>
      <c r="D89" s="12"/>
      <c r="E89" s="72">
        <v>0.68</v>
      </c>
      <c r="F89" s="12" t="s">
        <v>66</v>
      </c>
      <c r="G89" s="36"/>
    </row>
    <row r="90" spans="1:9">
      <c r="A90" s="25"/>
      <c r="B90" s="12"/>
      <c r="C90" s="12"/>
      <c r="D90" s="12" t="s">
        <v>67</v>
      </c>
      <c r="E90" s="43">
        <f>E88*E89</f>
        <v>37.400000000000006</v>
      </c>
      <c r="F90" s="12"/>
      <c r="G90" s="36"/>
    </row>
    <row r="91" spans="1:9">
      <c r="A91" s="25"/>
      <c r="B91" s="11"/>
      <c r="C91" s="11"/>
      <c r="D91" s="11" t="s">
        <v>71</v>
      </c>
      <c r="E91" s="43">
        <f>E83+E86+E87+E90</f>
        <v>228.1</v>
      </c>
      <c r="F91" s="12" t="s">
        <v>72</v>
      </c>
      <c r="G91" s="36"/>
    </row>
    <row r="92" spans="1:9">
      <c r="A92" s="117" t="s">
        <v>89</v>
      </c>
      <c r="B92" s="29"/>
      <c r="C92" s="29"/>
      <c r="D92" s="29"/>
      <c r="E92" s="48">
        <f>E91*$E$79</f>
        <v>54287.799999999996</v>
      </c>
      <c r="F92" s="45" t="s">
        <v>63</v>
      </c>
      <c r="G92" s="38"/>
    </row>
    <row r="93" spans="1:9">
      <c r="E93" s="7"/>
      <c r="I93">
        <f>238*3.5</f>
        <v>833</v>
      </c>
    </row>
    <row r="94" spans="1:9">
      <c r="A94" s="32" t="s">
        <v>73</v>
      </c>
      <c r="B94" s="33"/>
      <c r="C94" s="33"/>
      <c r="D94" s="33"/>
      <c r="E94" s="58"/>
      <c r="F94" s="23"/>
      <c r="G94" s="35"/>
    </row>
    <row r="95" spans="1:9">
      <c r="A95" s="25" t="s">
        <v>74</v>
      </c>
      <c r="B95" s="11"/>
      <c r="C95" s="11"/>
      <c r="D95" s="11"/>
      <c r="E95" s="11"/>
      <c r="F95" s="12"/>
      <c r="G95" s="36"/>
    </row>
    <row r="96" spans="1:9">
      <c r="A96" s="25" t="s">
        <v>75</v>
      </c>
      <c r="B96" s="11"/>
      <c r="C96" s="11"/>
      <c r="D96" s="11"/>
      <c r="E96" s="43">
        <f>E84/2</f>
        <v>27.5</v>
      </c>
      <c r="F96" s="12" t="s">
        <v>39</v>
      </c>
      <c r="G96" s="36"/>
      <c r="I96">
        <f>27.5*0.74</f>
        <v>20.350000000000001</v>
      </c>
    </row>
    <row r="97" spans="1:7">
      <c r="A97" s="25" t="s">
        <v>70</v>
      </c>
      <c r="B97" s="11"/>
      <c r="C97" s="11"/>
      <c r="D97" s="11"/>
      <c r="E97" s="72">
        <v>0.68</v>
      </c>
      <c r="F97" s="12" t="s">
        <v>66</v>
      </c>
      <c r="G97" s="36"/>
    </row>
    <row r="98" spans="1:7">
      <c r="A98" s="25"/>
      <c r="B98" s="11"/>
      <c r="C98" s="11"/>
      <c r="D98" s="11" t="s">
        <v>67</v>
      </c>
      <c r="E98" s="74">
        <f>E96*E97</f>
        <v>18.700000000000003</v>
      </c>
      <c r="F98" s="12" t="s">
        <v>72</v>
      </c>
      <c r="G98" s="36"/>
    </row>
    <row r="99" spans="1:7">
      <c r="A99" s="25" t="s">
        <v>76</v>
      </c>
      <c r="B99" s="11"/>
      <c r="C99" s="11"/>
      <c r="D99" s="11"/>
      <c r="E99" s="109">
        <v>125</v>
      </c>
      <c r="F99" s="12" t="s">
        <v>63</v>
      </c>
      <c r="G99" s="36"/>
    </row>
    <row r="100" spans="1:7">
      <c r="A100" s="25" t="s">
        <v>65</v>
      </c>
      <c r="B100" s="11"/>
      <c r="C100" s="11"/>
      <c r="D100" s="12"/>
      <c r="E100" s="72">
        <f>0.74</f>
        <v>0.74</v>
      </c>
      <c r="F100" s="12" t="s">
        <v>66</v>
      </c>
      <c r="G100" s="36"/>
    </row>
    <row r="101" spans="1:7">
      <c r="A101" s="25"/>
      <c r="B101" s="11"/>
      <c r="C101" s="11"/>
      <c r="D101" s="11"/>
      <c r="E101" s="74">
        <f>E100*E96</f>
        <v>20.350000000000001</v>
      </c>
      <c r="F101" s="12" t="s">
        <v>39</v>
      </c>
      <c r="G101" s="36"/>
    </row>
    <row r="102" spans="1:7">
      <c r="A102" s="25" t="s">
        <v>78</v>
      </c>
      <c r="B102" s="11"/>
      <c r="C102" s="11"/>
      <c r="D102" s="11"/>
      <c r="E102" s="50">
        <v>25</v>
      </c>
      <c r="F102" s="12"/>
      <c r="G102" s="36"/>
    </row>
    <row r="103" spans="1:7">
      <c r="A103" s="25"/>
      <c r="B103" s="11"/>
      <c r="C103" s="11"/>
      <c r="D103" s="11" t="s">
        <v>71</v>
      </c>
      <c r="E103" s="50">
        <f>E98+E99+E101+E102</f>
        <v>189.04999999999998</v>
      </c>
      <c r="F103" s="12" t="s">
        <v>63</v>
      </c>
      <c r="G103" s="36"/>
    </row>
    <row r="104" spans="1:7">
      <c r="A104" s="117" t="s">
        <v>89</v>
      </c>
      <c r="B104" s="29"/>
      <c r="C104" s="29"/>
      <c r="D104" s="29"/>
      <c r="E104" s="48">
        <f>E103*$E$79</f>
        <v>44993.899999999994</v>
      </c>
      <c r="F104" s="45" t="s">
        <v>63</v>
      </c>
      <c r="G104" s="38"/>
    </row>
    <row r="105" spans="1:7">
      <c r="E105" s="7"/>
    </row>
    <row r="106" spans="1:7">
      <c r="E106" s="7"/>
    </row>
    <row r="107" spans="1:7">
      <c r="A107" s="32" t="s">
        <v>77</v>
      </c>
      <c r="B107" s="33"/>
      <c r="C107" s="33"/>
      <c r="D107" s="33"/>
      <c r="E107" s="49"/>
      <c r="F107" s="23"/>
      <c r="G107" s="35"/>
    </row>
    <row r="108" spans="1:7">
      <c r="A108" s="25"/>
      <c r="B108" s="12"/>
      <c r="C108" s="12"/>
      <c r="D108" s="12" t="s">
        <v>71</v>
      </c>
      <c r="E108" s="50">
        <f>E103</f>
        <v>189.04999999999998</v>
      </c>
      <c r="F108" s="12" t="s">
        <v>72</v>
      </c>
      <c r="G108" s="36"/>
    </row>
    <row r="109" spans="1:7">
      <c r="A109" s="25" t="s">
        <v>79</v>
      </c>
      <c r="B109" s="12"/>
      <c r="C109" s="12"/>
      <c r="D109" s="12"/>
      <c r="E109" s="47">
        <f>F43*F44*E42</f>
        <v>16</v>
      </c>
      <c r="F109" s="12" t="s">
        <v>59</v>
      </c>
      <c r="G109" s="36"/>
    </row>
    <row r="110" spans="1:7">
      <c r="A110" s="117" t="s">
        <v>89</v>
      </c>
      <c r="B110" s="45"/>
      <c r="C110" s="45"/>
      <c r="D110" s="45"/>
      <c r="E110" s="48">
        <f>E108*E109</f>
        <v>3024.7999999999997</v>
      </c>
      <c r="F110" s="45" t="s">
        <v>63</v>
      </c>
      <c r="G110" s="38"/>
    </row>
    <row r="111" spans="1:7">
      <c r="B111"/>
      <c r="C111"/>
      <c r="D111"/>
      <c r="E111" s="7"/>
    </row>
    <row r="112" spans="1:7">
      <c r="A112" s="32" t="s">
        <v>80</v>
      </c>
      <c r="B112" s="23"/>
      <c r="C112" s="23"/>
      <c r="D112" s="23"/>
      <c r="E112" s="49"/>
      <c r="F112" s="23"/>
      <c r="G112" s="35"/>
    </row>
    <row r="113" spans="1:7">
      <c r="A113" s="25" t="s">
        <v>79</v>
      </c>
      <c r="B113" s="12"/>
      <c r="C113" s="12"/>
      <c r="D113" s="12"/>
      <c r="E113" s="47">
        <f>F41*F40*E39</f>
        <v>15000</v>
      </c>
      <c r="F113" s="12" t="s">
        <v>81</v>
      </c>
      <c r="G113" s="36"/>
    </row>
    <row r="114" spans="1:7">
      <c r="A114" s="117" t="s">
        <v>90</v>
      </c>
      <c r="B114" s="45"/>
      <c r="C114" s="45"/>
      <c r="D114" s="45"/>
      <c r="E114" s="48"/>
      <c r="F114" s="45"/>
      <c r="G114" s="38"/>
    </row>
    <row r="115" spans="1:7">
      <c r="A115" s="12"/>
      <c r="B115" s="12"/>
      <c r="C115" s="12"/>
      <c r="D115" s="12"/>
      <c r="E115" s="39"/>
      <c r="F115" s="12"/>
      <c r="G115" s="12"/>
    </row>
    <row r="116" spans="1:7">
      <c r="A116" s="32" t="s">
        <v>82</v>
      </c>
      <c r="B116" s="33"/>
      <c r="C116" s="33"/>
      <c r="D116" s="46"/>
      <c r="E116" s="23"/>
      <c r="F116" s="23"/>
      <c r="G116" s="35"/>
    </row>
    <row r="117" spans="1:7">
      <c r="A117" s="25" t="s">
        <v>83</v>
      </c>
      <c r="B117" s="11"/>
      <c r="C117" s="11"/>
      <c r="D117" s="12"/>
      <c r="E117" s="11">
        <v>1</v>
      </c>
      <c r="F117" s="12" t="s">
        <v>56</v>
      </c>
      <c r="G117" s="36"/>
    </row>
    <row r="118" spans="1:7">
      <c r="A118" s="25" t="s">
        <v>84</v>
      </c>
      <c r="B118" s="11"/>
      <c r="C118" s="11"/>
      <c r="D118" s="12"/>
      <c r="E118" s="43">
        <v>2.5</v>
      </c>
      <c r="F118" s="12" t="s">
        <v>56</v>
      </c>
      <c r="G118" s="36"/>
    </row>
    <row r="119" spans="1:7">
      <c r="A119" s="25" t="s">
        <v>79</v>
      </c>
      <c r="B119" s="11"/>
      <c r="C119" s="11"/>
      <c r="D119" s="12"/>
      <c r="E119" s="47">
        <f>ROUND(MAX(C5:C16)*1000/(21*A39),0)</f>
        <v>248</v>
      </c>
      <c r="F119" s="12" t="s">
        <v>59</v>
      </c>
      <c r="G119" s="36"/>
    </row>
    <row r="120" spans="1:7">
      <c r="A120" s="117" t="s">
        <v>86</v>
      </c>
      <c r="B120" s="29"/>
      <c r="C120" s="29"/>
      <c r="D120" s="45"/>
      <c r="E120" s="48">
        <f>E119*(E117+E118)</f>
        <v>868</v>
      </c>
      <c r="F120" s="45" t="s">
        <v>60</v>
      </c>
      <c r="G120" s="38"/>
    </row>
    <row r="121" spans="1:7">
      <c r="A121" s="12"/>
      <c r="B121" s="11"/>
      <c r="C121" s="11"/>
      <c r="D121" s="12"/>
      <c r="E121" s="39"/>
      <c r="F121" s="12"/>
      <c r="G121" s="12"/>
    </row>
    <row r="122" spans="1:7">
      <c r="A122" s="32" t="s">
        <v>85</v>
      </c>
      <c r="B122" s="33"/>
      <c r="C122" s="51"/>
      <c r="D122" s="33"/>
      <c r="E122" s="33"/>
      <c r="F122" s="23"/>
      <c r="G122" s="52"/>
    </row>
    <row r="123" spans="1:7">
      <c r="A123" s="53" t="s">
        <v>155</v>
      </c>
      <c r="B123" s="11"/>
      <c r="C123" s="13"/>
      <c r="D123" s="11"/>
      <c r="E123" s="72">
        <v>7.5</v>
      </c>
      <c r="F123" s="12"/>
      <c r="G123" s="54"/>
    </row>
    <row r="124" spans="1:7">
      <c r="A124" s="53" t="s">
        <v>79</v>
      </c>
      <c r="B124" s="11"/>
      <c r="C124" s="13"/>
      <c r="D124" s="11"/>
      <c r="E124" s="118">
        <v>0.9</v>
      </c>
      <c r="F124" s="12"/>
      <c r="G124" s="54"/>
    </row>
    <row r="125" spans="1:7">
      <c r="A125" s="42"/>
      <c r="B125" s="11"/>
      <c r="C125" s="13"/>
      <c r="D125" s="11"/>
      <c r="E125" s="11"/>
      <c r="F125" s="12"/>
      <c r="G125" s="54"/>
    </row>
    <row r="126" spans="1:7">
      <c r="A126" s="53" t="s">
        <v>86</v>
      </c>
      <c r="B126" s="11"/>
      <c r="C126" s="13"/>
      <c r="D126" s="11"/>
      <c r="E126" s="11"/>
      <c r="F126" s="12"/>
      <c r="G126" s="54"/>
    </row>
    <row r="127" spans="1:7">
      <c r="A127" s="25"/>
      <c r="B127" s="40" t="s">
        <v>87</v>
      </c>
      <c r="C127" s="11"/>
      <c r="D127" s="12"/>
      <c r="E127" s="41">
        <f>E80+E120</f>
        <v>1701</v>
      </c>
      <c r="F127" s="11" t="s">
        <v>60</v>
      </c>
      <c r="G127" s="36"/>
    </row>
    <row r="128" spans="1:7">
      <c r="A128" s="25"/>
      <c r="B128" s="11" t="s">
        <v>88</v>
      </c>
      <c r="C128" s="13"/>
      <c r="D128" s="12"/>
      <c r="E128" s="119">
        <f>ROUNDUP(E127/(60*E123*E124),0)</f>
        <v>5</v>
      </c>
      <c r="F128" s="11"/>
      <c r="G128" s="36"/>
    </row>
    <row r="129" spans="1:8">
      <c r="A129" s="25" t="s">
        <v>89</v>
      </c>
      <c r="B129" s="11"/>
      <c r="C129" s="11"/>
      <c r="D129" s="12"/>
      <c r="E129" s="11"/>
      <c r="F129" s="11"/>
      <c r="G129" s="36"/>
    </row>
    <row r="130" spans="1:8">
      <c r="A130" s="25"/>
      <c r="B130" s="40" t="s">
        <v>87</v>
      </c>
      <c r="C130" s="11"/>
      <c r="D130" s="12"/>
      <c r="E130" s="41">
        <f>(E92+E104+E110)/100</f>
        <v>1023.0649999999998</v>
      </c>
      <c r="F130" s="11" t="s">
        <v>60</v>
      </c>
      <c r="G130" s="36"/>
    </row>
    <row r="131" spans="1:8">
      <c r="A131" s="25"/>
      <c r="B131" s="11" t="s">
        <v>88</v>
      </c>
      <c r="C131" s="13"/>
      <c r="D131" s="12"/>
      <c r="E131" s="39">
        <f>ROUNDUP(E130/(60*E123*E124),0)</f>
        <v>3</v>
      </c>
      <c r="F131" s="12"/>
      <c r="G131" s="36"/>
    </row>
    <row r="132" spans="1:8">
      <c r="A132" s="25" t="s">
        <v>90</v>
      </c>
      <c r="B132" s="11"/>
      <c r="C132" s="13"/>
      <c r="D132" s="11"/>
      <c r="E132" s="12"/>
      <c r="F132" s="12"/>
      <c r="G132" s="36"/>
    </row>
    <row r="133" spans="1:8">
      <c r="A133" s="25"/>
      <c r="B133" s="40" t="s">
        <v>91</v>
      </c>
      <c r="C133" s="11"/>
      <c r="D133" s="11"/>
      <c r="E133" s="72">
        <v>150</v>
      </c>
      <c r="F133" s="12" t="s">
        <v>92</v>
      </c>
      <c r="G133" s="36"/>
    </row>
    <row r="134" spans="1:8">
      <c r="A134" s="28"/>
      <c r="B134" s="29" t="s">
        <v>88</v>
      </c>
      <c r="C134" s="34"/>
      <c r="D134" s="29"/>
      <c r="E134" s="120">
        <f>ROUNDUP(E113/(E133*E123*E124),0)</f>
        <v>15</v>
      </c>
      <c r="F134" s="45"/>
      <c r="G134" s="38"/>
    </row>
    <row r="135" spans="1:8">
      <c r="B135" s="11"/>
      <c r="C135" s="5"/>
      <c r="E135" s="1"/>
    </row>
    <row r="136" spans="1:8">
      <c r="A136" s="9"/>
    </row>
    <row r="137" spans="1:8">
      <c r="A137" s="3" t="s">
        <v>93</v>
      </c>
    </row>
    <row r="138" spans="1:8" ht="13.5" thickBot="1">
      <c r="A138" s="3"/>
    </row>
    <row r="139" spans="1:8">
      <c r="A139" s="78" t="s">
        <v>94</v>
      </c>
      <c r="B139" s="79"/>
      <c r="C139" s="80" t="s">
        <v>126</v>
      </c>
      <c r="D139" s="81" t="s">
        <v>95</v>
      </c>
      <c r="E139" s="80" t="s">
        <v>96</v>
      </c>
      <c r="F139" s="80" t="s">
        <v>115</v>
      </c>
      <c r="G139" s="82" t="s">
        <v>116</v>
      </c>
      <c r="H139" s="24"/>
    </row>
    <row r="140" spans="1:8">
      <c r="A140" s="83" t="s">
        <v>97</v>
      </c>
      <c r="B140" s="18"/>
      <c r="C140" s="20">
        <v>15</v>
      </c>
      <c r="D140" s="77">
        <v>230</v>
      </c>
      <c r="E140" s="21">
        <v>6000</v>
      </c>
      <c r="F140" s="21">
        <f t="shared" ref="F140:F145" si="2">D140*E140/1000</f>
        <v>1380</v>
      </c>
      <c r="G140" s="84">
        <f>F140/C140</f>
        <v>92</v>
      </c>
      <c r="H140" s="26"/>
    </row>
    <row r="141" spans="1:8">
      <c r="A141" s="83" t="s">
        <v>98</v>
      </c>
      <c r="B141" s="18"/>
      <c r="C141" s="20">
        <v>10</v>
      </c>
      <c r="D141" s="77">
        <v>80</v>
      </c>
      <c r="E141" s="20">
        <f>A43/2</f>
        <v>3000</v>
      </c>
      <c r="F141" s="21">
        <f t="shared" si="2"/>
        <v>240</v>
      </c>
      <c r="G141" s="84">
        <f>F141/C141</f>
        <v>24</v>
      </c>
      <c r="H141" s="26"/>
    </row>
    <row r="142" spans="1:8">
      <c r="A142" s="83" t="s">
        <v>99</v>
      </c>
      <c r="B142" s="18"/>
      <c r="C142" s="20">
        <v>5</v>
      </c>
      <c r="D142" s="77">
        <v>50000</v>
      </c>
      <c r="E142" s="21">
        <f>E131</f>
        <v>3</v>
      </c>
      <c r="F142" s="21">
        <f t="shared" si="2"/>
        <v>150</v>
      </c>
      <c r="G142" s="84">
        <f>F142/C142</f>
        <v>30</v>
      </c>
      <c r="H142" s="26"/>
    </row>
    <row r="143" spans="1:8">
      <c r="A143" s="83" t="s">
        <v>100</v>
      </c>
      <c r="B143" s="18"/>
      <c r="C143" s="20">
        <v>5</v>
      </c>
      <c r="D143" s="77">
        <v>12000</v>
      </c>
      <c r="E143" s="20">
        <f>(E128+E134)</f>
        <v>20</v>
      </c>
      <c r="F143" s="21">
        <f t="shared" si="2"/>
        <v>240</v>
      </c>
      <c r="G143" s="84">
        <f>F143/C143</f>
        <v>48</v>
      </c>
      <c r="H143" s="26"/>
    </row>
    <row r="144" spans="1:8">
      <c r="A144" s="85" t="s">
        <v>101</v>
      </c>
      <c r="B144" s="20"/>
      <c r="C144" s="20">
        <v>5</v>
      </c>
      <c r="D144" s="77">
        <v>12</v>
      </c>
      <c r="E144" s="20">
        <v>6000</v>
      </c>
      <c r="F144" s="20">
        <f t="shared" si="2"/>
        <v>72</v>
      </c>
      <c r="G144" s="86"/>
      <c r="H144" s="55"/>
    </row>
    <row r="145" spans="1:9">
      <c r="A145" s="85" t="s">
        <v>124</v>
      </c>
      <c r="B145" s="20"/>
      <c r="C145" s="20">
        <v>3</v>
      </c>
      <c r="D145" s="77">
        <v>60000</v>
      </c>
      <c r="E145" s="20">
        <v>1</v>
      </c>
      <c r="F145" s="20">
        <f t="shared" si="2"/>
        <v>60</v>
      </c>
      <c r="G145" s="84">
        <f>F145/C145</f>
        <v>20</v>
      </c>
      <c r="H145" s="55"/>
    </row>
    <row r="146" spans="1:9" ht="13.5" thickBot="1">
      <c r="A146" s="87" t="s">
        <v>125</v>
      </c>
      <c r="B146" s="88"/>
      <c r="C146" s="88"/>
      <c r="D146" s="88"/>
      <c r="E146" s="88"/>
      <c r="F146" s="89">
        <f>SUM(F140:F144)</f>
        <v>2082</v>
      </c>
      <c r="G146" s="90">
        <f>SUM(G140:G145)</f>
        <v>214</v>
      </c>
      <c r="H146" s="56">
        <f>G146/$G$164</f>
        <v>0.2081380398898823</v>
      </c>
    </row>
    <row r="147" spans="1:9">
      <c r="A147" s="75"/>
      <c r="B147" s="11"/>
      <c r="C147" s="11"/>
      <c r="D147" s="11"/>
      <c r="E147" s="11"/>
      <c r="F147" s="41"/>
      <c r="G147" s="39"/>
      <c r="H147" s="56"/>
    </row>
    <row r="148" spans="1:9">
      <c r="A148" s="122" t="s">
        <v>123</v>
      </c>
      <c r="B148" s="20"/>
      <c r="C148" s="20"/>
      <c r="D148" s="20"/>
      <c r="E148" s="20"/>
      <c r="F148" s="20"/>
      <c r="G148" s="20">
        <f>F144/C144</f>
        <v>14.4</v>
      </c>
      <c r="H148" s="1"/>
    </row>
    <row r="149" spans="1:9">
      <c r="A149" s="18" t="s">
        <v>102</v>
      </c>
      <c r="B149" s="20"/>
      <c r="C149" s="97">
        <v>0.01</v>
      </c>
      <c r="D149" s="20" t="s">
        <v>103</v>
      </c>
      <c r="E149" s="18"/>
      <c r="F149" s="18"/>
      <c r="G149" s="21">
        <f>C149*F146</f>
        <v>20.82</v>
      </c>
      <c r="H149" s="24"/>
    </row>
    <row r="150" spans="1:9">
      <c r="A150" s="18" t="s">
        <v>104</v>
      </c>
      <c r="B150" s="20"/>
      <c r="C150" s="123">
        <v>1E-3</v>
      </c>
      <c r="D150" s="20" t="s">
        <v>103</v>
      </c>
      <c r="E150" s="18"/>
      <c r="F150" s="18"/>
      <c r="G150" s="21">
        <f>C150*(F140+F141)</f>
        <v>1.62</v>
      </c>
      <c r="H150" s="26"/>
    </row>
    <row r="151" spans="1:9">
      <c r="A151" s="18" t="s">
        <v>105</v>
      </c>
      <c r="B151" s="20"/>
      <c r="C151" s="97">
        <v>0.01</v>
      </c>
      <c r="D151" s="20"/>
      <c r="E151" s="18"/>
      <c r="F151" s="18"/>
      <c r="G151" s="21">
        <f>C151*(F142+F143)</f>
        <v>3.9</v>
      </c>
      <c r="H151" s="26"/>
    </row>
    <row r="152" spans="1:9">
      <c r="A152" s="18" t="s">
        <v>106</v>
      </c>
      <c r="B152" s="20"/>
      <c r="C152" s="21">
        <v>4</v>
      </c>
      <c r="D152" s="20" t="s">
        <v>114</v>
      </c>
      <c r="E152" s="18"/>
      <c r="F152" s="18"/>
      <c r="G152" s="21">
        <f>C152*D71/1000</f>
        <v>22.823809523809526</v>
      </c>
      <c r="H152" s="26"/>
    </row>
    <row r="153" spans="1:9">
      <c r="A153" s="18"/>
      <c r="B153" s="20"/>
      <c r="C153" s="97"/>
      <c r="D153" s="20"/>
      <c r="E153" s="18"/>
      <c r="F153" s="18"/>
      <c r="G153" s="124">
        <f>SUM(G149:G152)</f>
        <v>49.163809523809526</v>
      </c>
      <c r="H153" s="59">
        <f>G153/$G$164</f>
        <v>4.7817097886940385E-2</v>
      </c>
    </row>
    <row r="154" spans="1:9">
      <c r="A154" s="23"/>
      <c r="B154" s="33"/>
      <c r="C154" s="57"/>
      <c r="D154" s="33"/>
      <c r="E154" s="23"/>
      <c r="F154" s="23"/>
      <c r="G154" s="23"/>
      <c r="H154" s="23"/>
      <c r="I154" s="73"/>
    </row>
    <row r="155" spans="1:9" ht="13.5" thickBot="1">
      <c r="A155" s="42" t="s">
        <v>107</v>
      </c>
      <c r="B155" s="11"/>
      <c r="C155" s="11"/>
      <c r="D155" s="11"/>
      <c r="F155" s="41"/>
      <c r="G155" s="41"/>
      <c r="H155" s="39"/>
    </row>
    <row r="156" spans="1:9">
      <c r="A156" s="25"/>
      <c r="B156" s="91"/>
      <c r="C156" s="79"/>
      <c r="D156" s="79"/>
      <c r="E156" s="79" t="s">
        <v>122</v>
      </c>
      <c r="F156" s="79"/>
      <c r="G156" s="121"/>
      <c r="H156" s="24"/>
    </row>
    <row r="157" spans="1:9">
      <c r="A157" s="25"/>
      <c r="B157" s="83" t="s">
        <v>108</v>
      </c>
      <c r="C157" s="20"/>
      <c r="D157" s="20"/>
      <c r="E157" s="77">
        <v>70</v>
      </c>
      <c r="F157" s="20">
        <v>1</v>
      </c>
      <c r="G157" s="84">
        <f>E157*F157</f>
        <v>70</v>
      </c>
      <c r="H157" s="26"/>
    </row>
    <row r="158" spans="1:9">
      <c r="A158" s="25"/>
      <c r="B158" s="83" t="s">
        <v>109</v>
      </c>
      <c r="C158" s="20"/>
      <c r="D158" s="20"/>
      <c r="E158" s="77">
        <v>30</v>
      </c>
      <c r="F158" s="20">
        <v>1</v>
      </c>
      <c r="G158" s="84">
        <f>E158*F158</f>
        <v>30</v>
      </c>
      <c r="H158" s="26"/>
    </row>
    <row r="159" spans="1:9">
      <c r="A159" s="25"/>
      <c r="B159" s="83" t="s">
        <v>90</v>
      </c>
      <c r="C159" s="20"/>
      <c r="D159" s="20"/>
      <c r="E159" s="77">
        <v>30</v>
      </c>
      <c r="F159" s="20">
        <f>E134</f>
        <v>15</v>
      </c>
      <c r="G159" s="84">
        <f>E159*F159</f>
        <v>450</v>
      </c>
      <c r="H159" s="26"/>
    </row>
    <row r="160" spans="1:9">
      <c r="A160" s="25"/>
      <c r="B160" s="83" t="s">
        <v>89</v>
      </c>
      <c r="C160" s="20"/>
      <c r="D160" s="20"/>
      <c r="E160" s="77">
        <v>30</v>
      </c>
      <c r="F160" s="21">
        <f>E131</f>
        <v>3</v>
      </c>
      <c r="G160" s="84">
        <f>E160*F160</f>
        <v>90</v>
      </c>
      <c r="H160" s="26"/>
    </row>
    <row r="161" spans="1:8">
      <c r="A161" s="25"/>
      <c r="B161" s="83" t="s">
        <v>86</v>
      </c>
      <c r="C161" s="20"/>
      <c r="D161" s="20"/>
      <c r="E161" s="77">
        <v>25</v>
      </c>
      <c r="F161" s="20">
        <f>E128</f>
        <v>5</v>
      </c>
      <c r="G161" s="84">
        <f>E161*F161</f>
        <v>125</v>
      </c>
      <c r="H161" s="26"/>
    </row>
    <row r="162" spans="1:8" ht="13.5" thickBot="1">
      <c r="A162" s="28"/>
      <c r="B162" s="93" t="s">
        <v>125</v>
      </c>
      <c r="C162" s="94"/>
      <c r="D162" s="94"/>
      <c r="E162" s="95"/>
      <c r="F162" s="95"/>
      <c r="G162" s="96">
        <f>SUM(G157:G161)</f>
        <v>765</v>
      </c>
      <c r="H162" s="59">
        <f>G162/$G$164</f>
        <v>0.74404486222317734</v>
      </c>
    </row>
    <row r="164" spans="1:8">
      <c r="B164" s="5"/>
      <c r="E164" s="2" t="s">
        <v>110</v>
      </c>
      <c r="F164" t="s">
        <v>117</v>
      </c>
      <c r="G164" s="7">
        <f>G146+G153+G162</f>
        <v>1028.1638095238095</v>
      </c>
      <c r="H164" s="4">
        <f>G164/$G$164</f>
        <v>1</v>
      </c>
    </row>
    <row r="165" spans="1:8">
      <c r="F165" t="s">
        <v>111</v>
      </c>
      <c r="G165" s="1"/>
      <c r="H165" s="6"/>
    </row>
    <row r="166" spans="1:8">
      <c r="F166" t="s">
        <v>112</v>
      </c>
      <c r="H166" s="1"/>
    </row>
    <row r="167" spans="1:8">
      <c r="H167" s="1"/>
    </row>
    <row r="168" spans="1:8">
      <c r="A168" s="60" t="s">
        <v>113</v>
      </c>
      <c r="B168" s="61">
        <v>40</v>
      </c>
      <c r="C168" s="61" t="s">
        <v>118</v>
      </c>
      <c r="D168" s="61"/>
      <c r="E168" s="16"/>
      <c r="F168" s="16"/>
      <c r="G168" s="62">
        <f>G164/(1000*B168)</f>
        <v>2.5704095238095238E-2</v>
      </c>
      <c r="H168" s="63" t="s">
        <v>113</v>
      </c>
    </row>
    <row r="169" spans="1:8">
      <c r="A169" s="3"/>
      <c r="F169" s="8"/>
      <c r="G169" s="65"/>
      <c r="H169" s="6"/>
    </row>
    <row r="170" spans="1:8">
      <c r="H170" s="10"/>
    </row>
    <row r="171" spans="1:8" ht="13.5" thickBot="1"/>
    <row r="172" spans="1:8">
      <c r="A172" s="98" t="s">
        <v>127</v>
      </c>
      <c r="B172" s="79"/>
      <c r="C172" s="79">
        <v>248</v>
      </c>
      <c r="D172" s="99" t="s">
        <v>128</v>
      </c>
      <c r="E172" s="79" t="s">
        <v>134</v>
      </c>
      <c r="F172" s="79" t="s">
        <v>132</v>
      </c>
      <c r="G172" s="79" t="s">
        <v>133</v>
      </c>
      <c r="H172" s="92" t="s">
        <v>125</v>
      </c>
    </row>
    <row r="173" spans="1:8">
      <c r="A173" s="85"/>
      <c r="B173" s="20"/>
      <c r="C173" s="76"/>
      <c r="D173" s="18"/>
      <c r="E173" s="20"/>
      <c r="F173" s="21"/>
      <c r="G173" s="20"/>
      <c r="H173" s="84"/>
    </row>
    <row r="174" spans="1:8">
      <c r="A174" s="85" t="s">
        <v>129</v>
      </c>
      <c r="B174" s="97">
        <v>0.2</v>
      </c>
      <c r="C174" s="20">
        <f>C172*B174</f>
        <v>49.6</v>
      </c>
      <c r="D174" s="76" t="s">
        <v>128</v>
      </c>
      <c r="E174" s="20">
        <v>3</v>
      </c>
      <c r="F174" s="21">
        <f>ROUNDUP(C174/30,0)</f>
        <v>2</v>
      </c>
      <c r="G174" s="20">
        <v>107</v>
      </c>
      <c r="H174" s="84">
        <f>F174*G174</f>
        <v>214</v>
      </c>
    </row>
    <row r="175" spans="1:8">
      <c r="A175" s="85" t="s">
        <v>130</v>
      </c>
      <c r="B175" s="97">
        <v>0.3</v>
      </c>
      <c r="C175" s="20">
        <f>C172*B175</f>
        <v>74.399999999999991</v>
      </c>
      <c r="D175" s="76" t="s">
        <v>128</v>
      </c>
      <c r="E175" s="20">
        <v>2</v>
      </c>
      <c r="F175" s="21">
        <f>ROUNDUP(C175/30,0)</f>
        <v>3</v>
      </c>
      <c r="G175" s="20">
        <v>160</v>
      </c>
      <c r="H175" s="84">
        <f>F175*G175</f>
        <v>480</v>
      </c>
    </row>
    <row r="176" spans="1:8">
      <c r="A176" s="85" t="s">
        <v>131</v>
      </c>
      <c r="B176" s="97">
        <v>0.5</v>
      </c>
      <c r="C176" s="20">
        <f>C172*B176</f>
        <v>124</v>
      </c>
      <c r="D176" s="76" t="s">
        <v>128</v>
      </c>
      <c r="E176" s="20">
        <v>1</v>
      </c>
      <c r="F176" s="21">
        <f>ROUNDUP(C176/30,0)</f>
        <v>5</v>
      </c>
      <c r="G176" s="20">
        <v>320</v>
      </c>
      <c r="H176" s="84">
        <f>F176*G176</f>
        <v>1600</v>
      </c>
    </row>
    <row r="177" spans="1:8" ht="13.5" thickBot="1">
      <c r="A177" s="87" t="s">
        <v>125</v>
      </c>
      <c r="B177" s="88"/>
      <c r="C177" s="88"/>
      <c r="D177" s="88"/>
      <c r="E177" s="100"/>
      <c r="F177" s="100"/>
      <c r="G177" s="100"/>
      <c r="H177" s="90">
        <f>SUM(H174:H176)</f>
        <v>2294</v>
      </c>
    </row>
    <row r="178" spans="1:8">
      <c r="H178" s="7"/>
    </row>
    <row r="179" spans="1:8">
      <c r="H179" s="10"/>
    </row>
  </sheetData>
  <phoneticPr fontId="2" type="noConversion"/>
  <printOptions horizontalCentered="1" gridLines="1" gridLinesSet="0"/>
  <pageMargins left="0.39370078740157483" right="0.39370078740157483" top="0.98425196850393704" bottom="0.98425196850393704" header="0.51181102362204722" footer="0.51181102362204722"/>
  <pageSetup paperSize="9" orientation="portrait" horizontalDpi="360" verticalDpi="360" r:id="rId1"/>
  <headerFooter alignWithMargins="0">
    <oddHeader>&amp;A</oddHeader>
    <oddFooter>Page &amp;P</oddFooter>
  </headerFooter>
  <rowBreaks count="2" manualBreakCount="2">
    <brk id="49" max="65535" man="1"/>
    <brk id="14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D20" sqref="D20"/>
    </sheetView>
  </sheetViews>
  <sheetFormatPr baseColWidth="10" defaultRowHeight="12.75"/>
  <sheetData>
    <row r="1" spans="1:11">
      <c r="A1" s="126" t="s">
        <v>136</v>
      </c>
      <c r="B1" s="126"/>
      <c r="C1" s="126"/>
    </row>
    <row r="5" spans="1:11">
      <c r="A5" s="3" t="s">
        <v>137</v>
      </c>
      <c r="B5">
        <v>1.4</v>
      </c>
      <c r="C5" t="s">
        <v>138</v>
      </c>
      <c r="D5" t="s">
        <v>139</v>
      </c>
      <c r="F5" s="3" t="s">
        <v>142</v>
      </c>
      <c r="H5">
        <v>2.2999999999999998</v>
      </c>
      <c r="I5" t="s">
        <v>148</v>
      </c>
      <c r="J5" s="105"/>
    </row>
    <row r="7" spans="1:11">
      <c r="A7" s="18"/>
      <c r="B7" s="20" t="s">
        <v>1</v>
      </c>
      <c r="C7" s="20" t="s">
        <v>101</v>
      </c>
      <c r="D7" s="20" t="s">
        <v>141</v>
      </c>
      <c r="F7" s="20" t="s">
        <v>143</v>
      </c>
      <c r="G7" s="20" t="s">
        <v>101</v>
      </c>
      <c r="H7" s="104" t="s">
        <v>144</v>
      </c>
      <c r="I7" s="20" t="s">
        <v>101</v>
      </c>
      <c r="J7" s="77" t="s">
        <v>145</v>
      </c>
      <c r="K7" s="20" t="s">
        <v>141</v>
      </c>
    </row>
    <row r="8" spans="1:11">
      <c r="A8" s="18" t="s">
        <v>4</v>
      </c>
      <c r="B8" s="20">
        <v>1700</v>
      </c>
      <c r="C8" s="20">
        <f>B8*2</f>
        <v>3400</v>
      </c>
      <c r="D8" s="102">
        <f>C8*3*$B$5</f>
        <v>14280</v>
      </c>
      <c r="F8" s="20">
        <v>2000</v>
      </c>
      <c r="G8" s="20">
        <f>F8*2</f>
        <v>4000</v>
      </c>
      <c r="H8" s="20">
        <v>1900</v>
      </c>
      <c r="I8" s="20">
        <f>H8*2</f>
        <v>3800</v>
      </c>
      <c r="J8" s="20">
        <f>G8+I8</f>
        <v>7800</v>
      </c>
      <c r="K8" s="102">
        <f>J8*$H$5</f>
        <v>17940</v>
      </c>
    </row>
    <row r="9" spans="1:11">
      <c r="A9" s="18" t="s">
        <v>5</v>
      </c>
      <c r="B9" s="20">
        <v>1800</v>
      </c>
      <c r="C9" s="20">
        <f t="shared" ref="C9:C19" si="0">B9*2</f>
        <v>3600</v>
      </c>
      <c r="D9" s="102">
        <f t="shared" ref="D9:D18" si="1">C9*3*$B$5</f>
        <v>15119.999999999998</v>
      </c>
      <c r="F9" s="20">
        <v>2100</v>
      </c>
      <c r="G9" s="20">
        <f t="shared" ref="G9:I19" si="2">F9*2</f>
        <v>4200</v>
      </c>
      <c r="H9" s="20">
        <v>2000</v>
      </c>
      <c r="I9" s="20">
        <f t="shared" si="2"/>
        <v>4000</v>
      </c>
      <c r="J9" s="20">
        <f t="shared" ref="J9:J19" si="3">G9+I9</f>
        <v>8200</v>
      </c>
      <c r="K9" s="102">
        <f t="shared" ref="K9:K19" si="4">J9*$H$5</f>
        <v>18860</v>
      </c>
    </row>
    <row r="10" spans="1:11">
      <c r="A10" s="18" t="s">
        <v>6</v>
      </c>
      <c r="B10" s="20">
        <v>1900</v>
      </c>
      <c r="C10" s="20">
        <f t="shared" si="0"/>
        <v>3800</v>
      </c>
      <c r="D10" s="102">
        <f t="shared" si="1"/>
        <v>15959.999999999998</v>
      </c>
      <c r="F10" s="20">
        <v>2400</v>
      </c>
      <c r="G10" s="20">
        <f t="shared" si="2"/>
        <v>4800</v>
      </c>
      <c r="H10" s="20">
        <v>2500</v>
      </c>
      <c r="I10" s="20">
        <f t="shared" si="2"/>
        <v>5000</v>
      </c>
      <c r="J10" s="20">
        <f t="shared" si="3"/>
        <v>9800</v>
      </c>
      <c r="K10" s="102">
        <f t="shared" si="4"/>
        <v>22540</v>
      </c>
    </row>
    <row r="11" spans="1:11">
      <c r="A11" s="18" t="s">
        <v>7</v>
      </c>
      <c r="B11" s="20">
        <v>1800</v>
      </c>
      <c r="C11" s="20">
        <f t="shared" si="0"/>
        <v>3600</v>
      </c>
      <c r="D11" s="102">
        <f t="shared" si="1"/>
        <v>15119.999999999998</v>
      </c>
      <c r="F11" s="20">
        <v>2400</v>
      </c>
      <c r="G11" s="20">
        <f t="shared" si="2"/>
        <v>4800</v>
      </c>
      <c r="H11" s="20">
        <v>2200</v>
      </c>
      <c r="I11" s="20">
        <f t="shared" si="2"/>
        <v>4400</v>
      </c>
      <c r="J11" s="20">
        <f t="shared" si="3"/>
        <v>9200</v>
      </c>
      <c r="K11" s="102">
        <f t="shared" si="4"/>
        <v>21160</v>
      </c>
    </row>
    <row r="12" spans="1:11">
      <c r="A12" s="18" t="s">
        <v>8</v>
      </c>
      <c r="B12" s="20">
        <v>2000</v>
      </c>
      <c r="C12" s="20">
        <f t="shared" si="0"/>
        <v>4000</v>
      </c>
      <c r="D12" s="102">
        <f t="shared" si="1"/>
        <v>16800</v>
      </c>
      <c r="F12" s="20">
        <v>2200</v>
      </c>
      <c r="G12" s="20">
        <f t="shared" si="2"/>
        <v>4400</v>
      </c>
      <c r="H12" s="20">
        <v>1800</v>
      </c>
      <c r="I12" s="20">
        <f t="shared" si="2"/>
        <v>3600</v>
      </c>
      <c r="J12" s="20">
        <f t="shared" si="3"/>
        <v>8000</v>
      </c>
      <c r="K12" s="102">
        <f t="shared" si="4"/>
        <v>18400</v>
      </c>
    </row>
    <row r="13" spans="1:11">
      <c r="A13" s="18" t="s">
        <v>9</v>
      </c>
      <c r="B13" s="20">
        <v>2400</v>
      </c>
      <c r="C13" s="20">
        <f t="shared" si="0"/>
        <v>4800</v>
      </c>
      <c r="D13" s="102">
        <f t="shared" si="1"/>
        <v>20160</v>
      </c>
      <c r="F13" s="20">
        <v>1800</v>
      </c>
      <c r="G13" s="20">
        <f t="shared" si="2"/>
        <v>3600</v>
      </c>
      <c r="H13" s="20">
        <v>2000</v>
      </c>
      <c r="I13" s="20">
        <f t="shared" si="2"/>
        <v>4000</v>
      </c>
      <c r="J13" s="20">
        <f t="shared" si="3"/>
        <v>7600</v>
      </c>
      <c r="K13" s="102">
        <f t="shared" si="4"/>
        <v>17480</v>
      </c>
    </row>
    <row r="14" spans="1:11">
      <c r="A14" s="18" t="s">
        <v>10</v>
      </c>
      <c r="B14" s="20">
        <v>2200</v>
      </c>
      <c r="C14" s="20">
        <f t="shared" si="0"/>
        <v>4400</v>
      </c>
      <c r="D14" s="102">
        <f t="shared" si="1"/>
        <v>18480</v>
      </c>
      <c r="F14" s="20">
        <v>1800</v>
      </c>
      <c r="G14" s="20">
        <f t="shared" si="2"/>
        <v>3600</v>
      </c>
      <c r="H14" s="20">
        <v>2200</v>
      </c>
      <c r="I14" s="20">
        <f t="shared" si="2"/>
        <v>4400</v>
      </c>
      <c r="J14" s="20">
        <f t="shared" si="3"/>
        <v>8000</v>
      </c>
      <c r="K14" s="102">
        <f t="shared" si="4"/>
        <v>18400</v>
      </c>
    </row>
    <row r="15" spans="1:11">
      <c r="A15" s="18" t="s">
        <v>11</v>
      </c>
      <c r="B15" s="20">
        <v>1800</v>
      </c>
      <c r="C15" s="20">
        <f t="shared" si="0"/>
        <v>3600</v>
      </c>
      <c r="D15" s="102">
        <f t="shared" si="1"/>
        <v>15119.999999999998</v>
      </c>
      <c r="F15" s="20">
        <v>1600</v>
      </c>
      <c r="G15" s="20">
        <f t="shared" si="2"/>
        <v>3200</v>
      </c>
      <c r="H15" s="20">
        <v>1700</v>
      </c>
      <c r="I15" s="20">
        <f t="shared" si="2"/>
        <v>3400</v>
      </c>
      <c r="J15" s="20">
        <f t="shared" si="3"/>
        <v>6600</v>
      </c>
      <c r="K15" s="102">
        <f t="shared" si="4"/>
        <v>15179.999999999998</v>
      </c>
    </row>
    <row r="16" spans="1:11">
      <c r="A16" s="18" t="s">
        <v>12</v>
      </c>
      <c r="B16" s="20">
        <v>1700</v>
      </c>
      <c r="C16" s="20">
        <f t="shared" si="0"/>
        <v>3400</v>
      </c>
      <c r="D16" s="102">
        <f t="shared" si="1"/>
        <v>14280</v>
      </c>
      <c r="F16" s="20">
        <v>2500</v>
      </c>
      <c r="G16" s="20">
        <f t="shared" si="2"/>
        <v>5000</v>
      </c>
      <c r="H16" s="20">
        <v>2300</v>
      </c>
      <c r="I16" s="20">
        <f t="shared" si="2"/>
        <v>4600</v>
      </c>
      <c r="J16" s="20">
        <f t="shared" si="3"/>
        <v>9600</v>
      </c>
      <c r="K16" s="102">
        <f t="shared" si="4"/>
        <v>22080</v>
      </c>
    </row>
    <row r="17" spans="1:11">
      <c r="A17" s="18" t="s">
        <v>13</v>
      </c>
      <c r="B17" s="20">
        <v>1900</v>
      </c>
      <c r="C17" s="20">
        <f t="shared" si="0"/>
        <v>3800</v>
      </c>
      <c r="D17" s="102">
        <f t="shared" si="1"/>
        <v>15959.999999999998</v>
      </c>
      <c r="F17" s="20">
        <v>2500</v>
      </c>
      <c r="G17" s="20">
        <f t="shared" si="2"/>
        <v>5000</v>
      </c>
      <c r="H17" s="20">
        <v>2600</v>
      </c>
      <c r="I17" s="20">
        <f t="shared" si="2"/>
        <v>5200</v>
      </c>
      <c r="J17" s="20">
        <f t="shared" si="3"/>
        <v>10200</v>
      </c>
      <c r="K17" s="102">
        <f t="shared" si="4"/>
        <v>23460</v>
      </c>
    </row>
    <row r="18" spans="1:11">
      <c r="A18" s="18" t="s">
        <v>14</v>
      </c>
      <c r="B18" s="20">
        <v>1800</v>
      </c>
      <c r="C18" s="20">
        <f t="shared" si="0"/>
        <v>3600</v>
      </c>
      <c r="D18" s="102">
        <f t="shared" si="1"/>
        <v>15119.999999999998</v>
      </c>
      <c r="F18" s="20">
        <v>2500</v>
      </c>
      <c r="G18" s="20">
        <f t="shared" si="2"/>
        <v>5000</v>
      </c>
      <c r="H18" s="20">
        <v>2400</v>
      </c>
      <c r="I18" s="20">
        <f t="shared" si="2"/>
        <v>4800</v>
      </c>
      <c r="J18" s="20">
        <f t="shared" si="3"/>
        <v>9800</v>
      </c>
      <c r="K18" s="102">
        <f t="shared" si="4"/>
        <v>22540</v>
      </c>
    </row>
    <row r="19" spans="1:11">
      <c r="A19" s="18" t="s">
        <v>15</v>
      </c>
      <c r="B19" s="20">
        <v>1900</v>
      </c>
      <c r="C19" s="20">
        <f t="shared" si="0"/>
        <v>3800</v>
      </c>
      <c r="D19" s="102">
        <f>C19*3*$B$5</f>
        <v>15959.999999999998</v>
      </c>
      <c r="F19" s="20">
        <v>2500</v>
      </c>
      <c r="G19" s="20">
        <f t="shared" si="2"/>
        <v>5000</v>
      </c>
      <c r="H19" s="20">
        <v>2600</v>
      </c>
      <c r="I19" s="20">
        <f t="shared" si="2"/>
        <v>5200</v>
      </c>
      <c r="J19" s="20">
        <f t="shared" si="3"/>
        <v>10200</v>
      </c>
      <c r="K19" s="102">
        <f t="shared" si="4"/>
        <v>23460</v>
      </c>
    </row>
    <row r="20" spans="1:11">
      <c r="B20" s="2">
        <f>SUM(B8:B19)</f>
        <v>22900</v>
      </c>
      <c r="C20" s="2">
        <f>SUM(C8:C19)</f>
        <v>45800</v>
      </c>
      <c r="D20" s="103">
        <f>SUM(D8:D19)</f>
        <v>192360</v>
      </c>
      <c r="F20" s="103">
        <f>SUM(F8:F19)</f>
        <v>26300</v>
      </c>
      <c r="G20" s="107"/>
      <c r="H20" s="103">
        <f>SUM(H8:H19)</f>
        <v>26200</v>
      </c>
      <c r="K20" s="106">
        <f>SUM(K8:K19)</f>
        <v>241500</v>
      </c>
    </row>
    <row r="23" spans="1:11">
      <c r="A23" t="s">
        <v>149</v>
      </c>
      <c r="B23" s="3">
        <v>6.25</v>
      </c>
      <c r="C23" t="s">
        <v>150</v>
      </c>
    </row>
    <row r="25" spans="1:11">
      <c r="A25" t="s">
        <v>151</v>
      </c>
      <c r="B25" s="107">
        <f>H20</f>
        <v>26200</v>
      </c>
      <c r="C25" t="s">
        <v>17</v>
      </c>
      <c r="D25" s="107">
        <f>B25*1000/B23</f>
        <v>4192000</v>
      </c>
    </row>
    <row r="27" spans="1:11">
      <c r="A27" s="3" t="s">
        <v>146</v>
      </c>
      <c r="B27" s="3">
        <v>0.23</v>
      </c>
      <c r="C27" t="s">
        <v>147</v>
      </c>
    </row>
    <row r="29" spans="1:11">
      <c r="C29" t="s">
        <v>140</v>
      </c>
      <c r="D29" s="101">
        <f>D25*B27</f>
        <v>964160</v>
      </c>
    </row>
    <row r="32" spans="1:11">
      <c r="A32" s="3" t="s">
        <v>152</v>
      </c>
      <c r="D32" s="108">
        <f>D20+K20+D29</f>
        <v>1398020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Dourlat 1</vt:lpstr>
      <vt:lpstr>Dourlat 2</vt:lpstr>
      <vt:lpstr>'Dourlat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</dc:creator>
  <cp:lastModifiedBy>GERARD</cp:lastModifiedBy>
  <cp:lastPrinted>2004-06-27T08:23:26Z</cp:lastPrinted>
  <dcterms:created xsi:type="dcterms:W3CDTF">2000-05-12T09:28:44Z</dcterms:created>
  <dcterms:modified xsi:type="dcterms:W3CDTF">2016-02-01T10:33:06Z</dcterms:modified>
</cp:coreProperties>
</file>