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65" windowWidth="15240" windowHeight="9030"/>
  </bookViews>
  <sheets>
    <sheet name="METALARM" sheetId="1" r:id="rId1"/>
  </sheets>
  <definedNames>
    <definedName name="_xlnm.Print_Area" localSheetId="0">METALARM!$A$1:$H$104</definedName>
  </definedNames>
  <calcPr calcId="125725"/>
</workbook>
</file>

<file path=xl/calcChain.xml><?xml version="1.0" encoding="utf-8"?>
<calcChain xmlns="http://schemas.openxmlformats.org/spreadsheetml/2006/main">
  <c r="C14" i="1"/>
  <c r="C15" s="1"/>
  <c r="D14"/>
  <c r="D15" s="1"/>
  <c r="E14"/>
  <c r="E15" s="1"/>
  <c r="F14"/>
  <c r="H14"/>
  <c r="F15"/>
  <c r="H15"/>
  <c r="F18"/>
  <c r="C20"/>
  <c r="D20"/>
  <c r="E20"/>
  <c r="F20"/>
  <c r="F22" s="1"/>
  <c r="G20"/>
  <c r="H20"/>
  <c r="H22" s="1"/>
  <c r="K21"/>
  <c r="C22"/>
  <c r="D22"/>
  <c r="D27" s="1"/>
  <c r="D43" s="1"/>
  <c r="E22"/>
  <c r="E37" s="1"/>
  <c r="G22"/>
  <c r="G43" s="1"/>
  <c r="C25"/>
  <c r="D25"/>
  <c r="E25"/>
  <c r="F25"/>
  <c r="G25"/>
  <c r="F64" s="1"/>
  <c r="F66" s="1"/>
  <c r="E27"/>
  <c r="E43" s="1"/>
  <c r="G37"/>
  <c r="F44"/>
  <c r="F47"/>
  <c r="D57"/>
  <c r="E57"/>
  <c r="F57"/>
  <c r="G57"/>
  <c r="G59" s="1"/>
  <c r="H57"/>
  <c r="H59" s="1"/>
  <c r="D59"/>
  <c r="E59"/>
  <c r="F59"/>
  <c r="D62"/>
  <c r="E62"/>
  <c r="F62"/>
  <c r="H64" l="1"/>
  <c r="H66" s="1"/>
  <c r="E44"/>
  <c r="E45" s="1"/>
  <c r="E47"/>
  <c r="F37"/>
  <c r="F45"/>
  <c r="F27"/>
  <c r="D47"/>
  <c r="D44"/>
  <c r="D45" s="1"/>
  <c r="H37"/>
  <c r="H27"/>
  <c r="H43" s="1"/>
  <c r="G44"/>
  <c r="G45" s="1"/>
  <c r="G47"/>
  <c r="G62"/>
  <c r="G64" s="1"/>
  <c r="G66" s="1"/>
  <c r="H62"/>
  <c r="D64"/>
  <c r="D66" s="1"/>
  <c r="D37"/>
  <c r="H25"/>
  <c r="C37"/>
  <c r="E64"/>
  <c r="E66" s="1"/>
  <c r="C27"/>
  <c r="C43" s="1"/>
  <c r="H44" l="1"/>
  <c r="H45" s="1"/>
  <c r="H47"/>
  <c r="C47"/>
  <c r="C44"/>
  <c r="C45" s="1"/>
  <c r="C68"/>
  <c r="C70" s="1"/>
  <c r="B37"/>
  <c r="E40" s="1"/>
  <c r="E41" s="1"/>
  <c r="B62"/>
  <c r="B47" l="1"/>
  <c r="G50" s="1"/>
</calcChain>
</file>

<file path=xl/sharedStrings.xml><?xml version="1.0" encoding="utf-8"?>
<sst xmlns="http://schemas.openxmlformats.org/spreadsheetml/2006/main" count="92" uniqueCount="86">
  <si>
    <t>CORRIGE METALARM</t>
  </si>
  <si>
    <t>Nb d'heures dans le mois</t>
  </si>
  <si>
    <t>Absentéisme moyen</t>
  </si>
  <si>
    <t>Programme du mois de janvier</t>
  </si>
  <si>
    <t>Coût de revient d'une armoire peinte</t>
  </si>
  <si>
    <t>Ateliers</t>
  </si>
  <si>
    <t>Découpe</t>
  </si>
  <si>
    <t>Usinage</t>
  </si>
  <si>
    <t>Soudure</t>
  </si>
  <si>
    <t>Peinture</t>
  </si>
  <si>
    <t>Assemblage</t>
  </si>
  <si>
    <t>Emballage</t>
  </si>
  <si>
    <t>Nb de machines</t>
  </si>
  <si>
    <t>Infini</t>
  </si>
  <si>
    <t>Cadence horaire</t>
  </si>
  <si>
    <t>Nb de personnes</t>
  </si>
  <si>
    <t xml:space="preserve"> par poste de travail</t>
  </si>
  <si>
    <t>Capacité</t>
  </si>
  <si>
    <t>(heures)</t>
  </si>
  <si>
    <t>Infinie</t>
  </si>
  <si>
    <t>théorique</t>
  </si>
  <si>
    <t>(nb armoires)</t>
  </si>
  <si>
    <t>pratique</t>
  </si>
  <si>
    <t>Nb d'armoires traitées</t>
  </si>
  <si>
    <t>Charge</t>
  </si>
  <si>
    <t>Flux moyen dans l'atelier</t>
  </si>
  <si>
    <t>(nombre moyen d'armoires par heure)</t>
  </si>
  <si>
    <t>Rapport Charge/Capacité</t>
  </si>
  <si>
    <t>N/A</t>
  </si>
  <si>
    <t>Ressource goulet ------------*</t>
  </si>
  <si>
    <t xml:space="preserve">Solutions : </t>
  </si>
  <si>
    <t>- Heures supplémentaires</t>
  </si>
  <si>
    <t>- réduire le temps de cycle</t>
  </si>
  <si>
    <t>- réduire les temps de changement de couleur</t>
  </si>
  <si>
    <t>- réduire les pannes</t>
  </si>
  <si>
    <t>- investissement dans un second tunnel</t>
  </si>
  <si>
    <t>- accélérer le tunnel</t>
  </si>
  <si>
    <t>Nb d'heures de main-d'oeuvre nécessaires</t>
  </si>
  <si>
    <t>Total</t>
  </si>
  <si>
    <t xml:space="preserve">Effectif théorique nécessaire si tout le personnel est polyvalent </t>
  </si>
  <si>
    <t>- hors absentéisme :</t>
  </si>
  <si>
    <t>- compte tenue de l'absentéisme :</t>
  </si>
  <si>
    <t>Nb théorique de postes</t>
  </si>
  <si>
    <t>Nouvelle capacité</t>
  </si>
  <si>
    <t>Nouveau rapport Ch/cap</t>
  </si>
  <si>
    <t>Nb de personnes par atelier (hors absentéisme) si personnel affecté à un poste</t>
  </si>
  <si>
    <t>Effectif nécessaire compte tenu de l'absentéisme</t>
  </si>
  <si>
    <t>Couleurs</t>
  </si>
  <si>
    <t>Blanc</t>
  </si>
  <si>
    <t>Gris</t>
  </si>
  <si>
    <t>Jaune</t>
  </si>
  <si>
    <t>Orange</t>
  </si>
  <si>
    <t>Bleue</t>
  </si>
  <si>
    <t>Consommation mensuelle</t>
  </si>
  <si>
    <t>Consommation hebdomadaire</t>
  </si>
  <si>
    <t>Consommation moyenne horaire</t>
  </si>
  <si>
    <t>Temps de fabrication nécessaire (en heures)</t>
  </si>
  <si>
    <t xml:space="preserve">Stock maxi </t>
  </si>
  <si>
    <t>Stock moyen</t>
  </si>
  <si>
    <t>Stock moyen total</t>
  </si>
  <si>
    <t>armoires</t>
  </si>
  <si>
    <t>Valeur moyenne du stock</t>
  </si>
  <si>
    <t>---------------------------------------------------------------------------</t>
  </si>
  <si>
    <t>Planning du tunnel de peinture</t>
  </si>
  <si>
    <t>Pour le bleu, il faut une heure de fabrication par semaine</t>
  </si>
  <si>
    <t>mais aussi une heure de réglage ...</t>
  </si>
  <si>
    <t>Pour toutes les petites séries, le temps relatif perdu en réglage est trop important</t>
  </si>
  <si>
    <t>Il faudrait donc, soit diminuer les temps de réglage (SMED)</t>
  </si>
  <si>
    <t>soit lancer des séries plus importantes</t>
  </si>
  <si>
    <t>Il faut adapter la taille des séries à la consommation (Cf. formule de Wilson)</t>
  </si>
  <si>
    <t>On pourrait, par exemple, lancer le Blanc une fois par semaine,</t>
  </si>
  <si>
    <t>le Gris et le Jaune, une fois tous les quinze jours,</t>
  </si>
  <si>
    <t>l'Orange et le Bleu une fois par mois.</t>
  </si>
  <si>
    <t>On ne ferait ainsi que 10 changements de couleurs au lieu de 20.</t>
  </si>
  <si>
    <t>On gagne ainsi 10 heures de capacité du tunnel de peinture</t>
  </si>
  <si>
    <t>ce qui résoud le problème de l'équilibre Charge/capacité</t>
  </si>
  <si>
    <t>Proposition de 10 couleurs au lieu de 5</t>
  </si>
  <si>
    <t>Si l'on ne change rien à la façon de procéder, on passera son temps</t>
  </si>
  <si>
    <t>à changer de couleur, ce qui réduira la capacité disponible de 20 heures.</t>
  </si>
  <si>
    <t>Si l'on réussit à réduire de façon importante les temps de changement</t>
  </si>
  <si>
    <t>de couleur, alors c'est admissible sans augmenter les stocks.</t>
  </si>
  <si>
    <t>Sinon, il faut soit faire des séries plus longues,</t>
  </si>
  <si>
    <t>soit mettre en place un second tunnel (augmentation de capacité),</t>
  </si>
  <si>
    <t>soit ou une deuxième équipe.</t>
  </si>
  <si>
    <t>euros</t>
  </si>
  <si>
    <t>Inactivité pannes</t>
  </si>
</sst>
</file>

<file path=xl/styles.xml><?xml version="1.0" encoding="utf-8"?>
<styleSheet xmlns="http://schemas.openxmlformats.org/spreadsheetml/2006/main">
  <numFmts count="1">
    <numFmt numFmtId="172" formatCode="0.0%"/>
  </numFmts>
  <fonts count="3">
    <font>
      <sz val="10"/>
      <name val="Helv"/>
    </font>
    <font>
      <b/>
      <sz val="10"/>
      <name val="Helv"/>
    </font>
    <font>
      <sz val="10"/>
      <color indexed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172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172" fontId="0" fillId="0" borderId="2" xfId="0" applyNumberFormat="1" applyBorder="1"/>
    <xf numFmtId="0" fontId="0" fillId="0" borderId="3" xfId="0" applyBorder="1"/>
    <xf numFmtId="1" fontId="0" fillId="0" borderId="3" xfId="0" applyNumberFormat="1" applyBorder="1"/>
    <xf numFmtId="2" fontId="0" fillId="0" borderId="3" xfId="0" applyNumberFormat="1" applyBorder="1"/>
    <xf numFmtId="172" fontId="0" fillId="0" borderId="3" xfId="0" applyNumberFormat="1" applyBorder="1"/>
    <xf numFmtId="0" fontId="0" fillId="0" borderId="3" xfId="0" applyBorder="1" applyAlignment="1">
      <alignment horizontal="right"/>
    </xf>
    <xf numFmtId="172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1" fontId="0" fillId="0" borderId="10" xfId="0" applyNumberFormat="1" applyBorder="1"/>
    <xf numFmtId="1" fontId="0" fillId="0" borderId="11" xfId="0" applyNumberFormat="1" applyBorder="1"/>
    <xf numFmtId="0" fontId="0" fillId="0" borderId="11" xfId="0" applyBorder="1" applyAlignment="1">
      <alignment horizontal="left"/>
    </xf>
    <xf numFmtId="0" fontId="0" fillId="0" borderId="12" xfId="0" applyBorder="1"/>
    <xf numFmtId="1" fontId="0" fillId="0" borderId="12" xfId="0" applyNumberFormat="1" applyBorder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/>
    <xf numFmtId="10" fontId="0" fillId="0" borderId="0" xfId="0" applyNumberFormat="1"/>
    <xf numFmtId="0" fontId="0" fillId="2" borderId="11" xfId="0" applyFill="1" applyBorder="1"/>
    <xf numFmtId="0" fontId="0" fillId="2" borderId="13" xfId="0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4" xfId="0" applyFill="1" applyBorder="1"/>
    <xf numFmtId="0" fontId="0" fillId="2" borderId="1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2" fillId="0" borderId="7" xfId="0" applyFont="1" applyBorder="1"/>
    <xf numFmtId="1" fontId="2" fillId="0" borderId="7" xfId="0" applyNumberFormat="1" applyFont="1" applyBorder="1"/>
    <xf numFmtId="0" fontId="0" fillId="2" borderId="14" xfId="0" applyFill="1" applyBorder="1"/>
    <xf numFmtId="0" fontId="0" fillId="2" borderId="12" xfId="0" applyFill="1" applyBorder="1" applyAlignment="1">
      <alignment horizontal="right"/>
    </xf>
    <xf numFmtId="172" fontId="2" fillId="0" borderId="0" xfId="0" applyNumberFormat="1" applyFont="1"/>
    <xf numFmtId="0" fontId="2" fillId="0" borderId="7" xfId="0" applyFont="1" applyBorder="1" applyAlignment="1">
      <alignment horizontal="left"/>
    </xf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showGridLines="0" tabSelected="1" workbookViewId="0">
      <selection activeCell="C70" sqref="C70"/>
    </sheetView>
  </sheetViews>
  <sheetFormatPr baseColWidth="10" defaultColWidth="8.7109375" defaultRowHeight="12.75"/>
  <cols>
    <col min="1" max="1" width="8.7109375" customWidth="1"/>
    <col min="2" max="2" width="14.85546875" customWidth="1"/>
    <col min="3" max="8" width="13" customWidth="1"/>
  </cols>
  <sheetData>
    <row r="1" spans="1:8">
      <c r="A1" s="42" t="s">
        <v>0</v>
      </c>
      <c r="B1" s="43"/>
    </row>
    <row r="2" spans="1:8">
      <c r="C2" s="5" t="s">
        <v>1</v>
      </c>
      <c r="G2">
        <v>160</v>
      </c>
    </row>
    <row r="3" spans="1:8">
      <c r="C3" s="5" t="s">
        <v>2</v>
      </c>
      <c r="G3" s="3">
        <v>0.1</v>
      </c>
    </row>
    <row r="4" spans="1:8">
      <c r="C4" s="5" t="s">
        <v>3</v>
      </c>
      <c r="G4">
        <v>7600</v>
      </c>
    </row>
    <row r="5" spans="1:8">
      <c r="C5" s="5" t="s">
        <v>4</v>
      </c>
      <c r="G5">
        <v>200</v>
      </c>
    </row>
    <row r="7" spans="1:8">
      <c r="A7" s="37" t="s">
        <v>5</v>
      </c>
      <c r="B7" s="38"/>
      <c r="C7" s="39" t="s">
        <v>6</v>
      </c>
      <c r="D7" s="40" t="s">
        <v>7</v>
      </c>
      <c r="E7" s="39" t="s">
        <v>8</v>
      </c>
      <c r="F7" s="40" t="s">
        <v>9</v>
      </c>
      <c r="G7" s="39" t="s">
        <v>10</v>
      </c>
      <c r="H7" s="41" t="s">
        <v>11</v>
      </c>
    </row>
    <row r="8" spans="1:8">
      <c r="A8" s="7"/>
      <c r="C8" s="13"/>
      <c r="E8" s="13"/>
      <c r="G8" s="13"/>
      <c r="H8" s="9"/>
    </row>
    <row r="9" spans="1:8">
      <c r="A9" s="8" t="s">
        <v>12</v>
      </c>
      <c r="C9" s="13">
        <v>1</v>
      </c>
      <c r="D9">
        <v>4</v>
      </c>
      <c r="E9" s="13">
        <v>10</v>
      </c>
      <c r="F9">
        <v>1</v>
      </c>
      <c r="G9" s="17" t="s">
        <v>13</v>
      </c>
      <c r="H9" s="9">
        <v>6</v>
      </c>
    </row>
    <row r="10" spans="1:8">
      <c r="A10" s="8" t="s">
        <v>14</v>
      </c>
      <c r="C10" s="13">
        <v>100</v>
      </c>
      <c r="D10">
        <v>17</v>
      </c>
      <c r="E10" s="13">
        <v>6</v>
      </c>
      <c r="F10">
        <v>60</v>
      </c>
      <c r="G10" s="13">
        <v>6</v>
      </c>
      <c r="H10" s="9">
        <v>12</v>
      </c>
    </row>
    <row r="11" spans="1:8">
      <c r="A11" s="8" t="s">
        <v>15</v>
      </c>
      <c r="C11" s="13">
        <v>1</v>
      </c>
      <c r="D11">
        <v>1</v>
      </c>
      <c r="E11" s="13">
        <v>2</v>
      </c>
      <c r="F11">
        <v>2</v>
      </c>
      <c r="G11" s="13">
        <v>1</v>
      </c>
      <c r="H11" s="9">
        <v>2</v>
      </c>
    </row>
    <row r="12" spans="1:8">
      <c r="A12" s="7" t="s">
        <v>16</v>
      </c>
      <c r="C12" s="13"/>
      <c r="E12" s="13"/>
      <c r="G12" s="13"/>
      <c r="H12" s="9"/>
    </row>
    <row r="13" spans="1:8">
      <c r="A13" s="7"/>
      <c r="C13" s="13"/>
      <c r="E13" s="13"/>
      <c r="G13" s="13"/>
      <c r="H13" s="9"/>
    </row>
    <row r="14" spans="1:8">
      <c r="A14" s="8" t="s">
        <v>17</v>
      </c>
      <c r="B14" s="5" t="s">
        <v>18</v>
      </c>
      <c r="C14" s="13">
        <f>C9*$G$2</f>
        <v>160</v>
      </c>
      <c r="D14">
        <f>D9*$G$2</f>
        <v>640</v>
      </c>
      <c r="E14" s="13">
        <f>E9*$G$2</f>
        <v>1600</v>
      </c>
      <c r="F14">
        <f>F9*$G$2</f>
        <v>160</v>
      </c>
      <c r="G14" s="17" t="s">
        <v>19</v>
      </c>
      <c r="H14" s="9">
        <f>H9*$G$2</f>
        <v>960</v>
      </c>
    </row>
    <row r="15" spans="1:8">
      <c r="A15" s="8" t="s">
        <v>20</v>
      </c>
      <c r="B15" s="5" t="s">
        <v>21</v>
      </c>
      <c r="C15" s="13">
        <f>C14*C10</f>
        <v>16000</v>
      </c>
      <c r="D15">
        <f>D14*D10</f>
        <v>10880</v>
      </c>
      <c r="E15" s="13">
        <f>E14*E10</f>
        <v>9600</v>
      </c>
      <c r="F15">
        <f>F14*F10</f>
        <v>9600</v>
      </c>
      <c r="G15" s="17" t="s">
        <v>19</v>
      </c>
      <c r="H15" s="9">
        <f>H14*H10</f>
        <v>11520</v>
      </c>
    </row>
    <row r="16" spans="1:8">
      <c r="A16" s="7"/>
      <c r="C16" s="13"/>
      <c r="E16" s="13"/>
      <c r="G16" s="13"/>
      <c r="H16" s="9"/>
    </row>
    <row r="17" spans="1:11">
      <c r="A17" s="8" t="s">
        <v>17</v>
      </c>
      <c r="B17" s="5" t="s">
        <v>18</v>
      </c>
      <c r="C17" s="13"/>
      <c r="E17" s="13"/>
      <c r="F17">
        <v>140</v>
      </c>
      <c r="G17" s="13"/>
      <c r="H17" s="9"/>
    </row>
    <row r="18" spans="1:11">
      <c r="A18" s="8" t="s">
        <v>22</v>
      </c>
      <c r="B18" s="5" t="s">
        <v>21</v>
      </c>
      <c r="C18" s="13"/>
      <c r="E18" s="13"/>
      <c r="F18" s="1">
        <f>F17*F10/1.05</f>
        <v>8000</v>
      </c>
      <c r="G18" s="13"/>
      <c r="H18" s="9"/>
    </row>
    <row r="19" spans="1:11">
      <c r="A19" s="7"/>
      <c r="C19" s="13"/>
      <c r="E19" s="13"/>
      <c r="G19" s="13"/>
      <c r="H19" s="9"/>
    </row>
    <row r="20" spans="1:11">
      <c r="A20" s="8" t="s">
        <v>23</v>
      </c>
      <c r="C20" s="13">
        <f>$G$4</f>
        <v>7600</v>
      </c>
      <c r="D20">
        <f>$G$4</f>
        <v>7600</v>
      </c>
      <c r="E20" s="13">
        <f>$G$4</f>
        <v>7600</v>
      </c>
      <c r="F20">
        <f>$G$4*1.05</f>
        <v>7980</v>
      </c>
      <c r="G20" s="13">
        <f>$G$4</f>
        <v>7600</v>
      </c>
      <c r="H20" s="9">
        <f>$G$4/2</f>
        <v>3800</v>
      </c>
    </row>
    <row r="21" spans="1:11">
      <c r="A21" s="7"/>
      <c r="C21" s="13"/>
      <c r="E21" s="13"/>
      <c r="G21" s="13"/>
      <c r="H21" s="9"/>
      <c r="K21">
        <f>7980/60</f>
        <v>133</v>
      </c>
    </row>
    <row r="22" spans="1:11">
      <c r="A22" s="8" t="s">
        <v>24</v>
      </c>
      <c r="B22" s="5" t="s">
        <v>18</v>
      </c>
      <c r="C22" s="14">
        <f t="shared" ref="C22:H22" si="0">C20/C10</f>
        <v>76</v>
      </c>
      <c r="D22" s="1">
        <f t="shared" si="0"/>
        <v>447.05882352941177</v>
      </c>
      <c r="E22" s="14">
        <f t="shared" si="0"/>
        <v>1266.6666666666667</v>
      </c>
      <c r="F22" s="1">
        <f>F20/F10 +20</f>
        <v>153</v>
      </c>
      <c r="G22" s="14">
        <f t="shared" si="0"/>
        <v>1266.6666666666667</v>
      </c>
      <c r="H22" s="10">
        <f t="shared" si="0"/>
        <v>316.66666666666669</v>
      </c>
    </row>
    <row r="23" spans="1:11">
      <c r="A23" s="8"/>
      <c r="B23" s="33" t="s">
        <v>85</v>
      </c>
      <c r="C23" s="14"/>
      <c r="D23" s="1"/>
      <c r="E23" s="14"/>
      <c r="F23" s="1">
        <v>20</v>
      </c>
      <c r="G23" s="14"/>
      <c r="H23" s="10"/>
    </row>
    <row r="24" spans="1:11">
      <c r="A24" s="8" t="s">
        <v>25</v>
      </c>
      <c r="C24" s="13"/>
      <c r="D24" s="5" t="s">
        <v>26</v>
      </c>
      <c r="E24" s="13"/>
      <c r="G24" s="13"/>
      <c r="H24" s="9"/>
    </row>
    <row r="25" spans="1:11">
      <c r="A25" s="7"/>
      <c r="C25" s="15">
        <f t="shared" ref="C25:H25" si="1">C20/$G$2</f>
        <v>47.5</v>
      </c>
      <c r="D25" s="2">
        <f t="shared" si="1"/>
        <v>47.5</v>
      </c>
      <c r="E25" s="15">
        <f t="shared" si="1"/>
        <v>47.5</v>
      </c>
      <c r="F25" s="2">
        <f t="shared" si="1"/>
        <v>49.875</v>
      </c>
      <c r="G25" s="15">
        <f t="shared" si="1"/>
        <v>47.5</v>
      </c>
      <c r="H25" s="11">
        <f t="shared" si="1"/>
        <v>23.75</v>
      </c>
    </row>
    <row r="26" spans="1:11">
      <c r="A26" s="7"/>
      <c r="C26" s="13"/>
      <c r="E26" s="13"/>
      <c r="G26" s="13"/>
      <c r="H26" s="9"/>
    </row>
    <row r="27" spans="1:11">
      <c r="A27" s="8" t="s">
        <v>27</v>
      </c>
      <c r="C27" s="16">
        <f>C22/C14</f>
        <v>0.47499999999999998</v>
      </c>
      <c r="D27" s="4">
        <f>D22/D14</f>
        <v>0.69852941176470584</v>
      </c>
      <c r="E27" s="16">
        <f>E22/E14</f>
        <v>0.79166666666666674</v>
      </c>
      <c r="F27" s="52">
        <f>F22/F17</f>
        <v>1.0928571428571427</v>
      </c>
      <c r="G27" s="18" t="s">
        <v>28</v>
      </c>
      <c r="H27" s="12">
        <f>H22/H14</f>
        <v>0.3298611111111111</v>
      </c>
    </row>
    <row r="28" spans="1:11">
      <c r="A28" s="23"/>
      <c r="B28" s="22"/>
      <c r="C28" s="26"/>
      <c r="D28" s="23"/>
      <c r="E28" s="53" t="s">
        <v>29</v>
      </c>
      <c r="F28" s="48"/>
      <c r="G28" s="26"/>
      <c r="H28" s="25"/>
    </row>
    <row r="30" spans="1:11">
      <c r="A30" s="5" t="s">
        <v>30</v>
      </c>
      <c r="C30" s="5" t="s">
        <v>31</v>
      </c>
    </row>
    <row r="31" spans="1:11">
      <c r="C31" s="5" t="s">
        <v>32</v>
      </c>
    </row>
    <row r="32" spans="1:11">
      <c r="C32" s="5" t="s">
        <v>33</v>
      </c>
    </row>
    <row r="33" spans="1:8">
      <c r="C33" s="5" t="s">
        <v>34</v>
      </c>
    </row>
    <row r="34" spans="1:8">
      <c r="C34" s="5" t="s">
        <v>35</v>
      </c>
    </row>
    <row r="35" spans="1:8">
      <c r="C35" s="32" t="s">
        <v>36</v>
      </c>
    </row>
    <row r="36" spans="1:8">
      <c r="A36" s="44" t="s">
        <v>37</v>
      </c>
      <c r="B36" s="45"/>
      <c r="C36" s="45"/>
      <c r="D36" s="19"/>
      <c r="E36" s="19"/>
      <c r="F36" s="19"/>
      <c r="G36" s="19"/>
      <c r="H36" s="21"/>
    </row>
    <row r="37" spans="1:8">
      <c r="A37" s="24" t="s">
        <v>38</v>
      </c>
      <c r="B37" s="49">
        <f>SUM(C37:H37)</f>
        <v>5302.3921568627447</v>
      </c>
      <c r="C37" s="28">
        <f t="shared" ref="C37:H37" si="2">C22*C11</f>
        <v>76</v>
      </c>
      <c r="D37" s="28">
        <f t="shared" si="2"/>
        <v>447.05882352941177</v>
      </c>
      <c r="E37" s="28">
        <f t="shared" si="2"/>
        <v>2533.3333333333335</v>
      </c>
      <c r="F37" s="28">
        <f>(F22+F23)*F11</f>
        <v>346</v>
      </c>
      <c r="G37" s="28">
        <f t="shared" si="2"/>
        <v>1266.6666666666667</v>
      </c>
      <c r="H37" s="31">
        <f t="shared" si="2"/>
        <v>633.33333333333337</v>
      </c>
    </row>
    <row r="39" spans="1:8">
      <c r="A39" s="5" t="s">
        <v>39</v>
      </c>
    </row>
    <row r="40" spans="1:8">
      <c r="A40" s="5" t="s">
        <v>40</v>
      </c>
      <c r="E40">
        <f>TRUNC(B37/G2+1)</f>
        <v>34</v>
      </c>
    </row>
    <row r="41" spans="1:8">
      <c r="A41" s="5" t="s">
        <v>41</v>
      </c>
      <c r="E41">
        <f>TRUNC(E40/(1-G3)+1)</f>
        <v>38</v>
      </c>
    </row>
    <row r="43" spans="1:8">
      <c r="A43" s="46" t="s">
        <v>42</v>
      </c>
      <c r="B43" s="38"/>
      <c r="C43" s="30">
        <f>TRUNC(C27*C9+1)</f>
        <v>1</v>
      </c>
      <c r="D43" s="30">
        <f>TRUNC(D27*D9+1)</f>
        <v>3</v>
      </c>
      <c r="E43" s="30">
        <f>TRUNC(E27*E9+1)</f>
        <v>8</v>
      </c>
      <c r="F43" s="30">
        <v>1</v>
      </c>
      <c r="G43" s="30">
        <f>TRUNC(G22/160+1)</f>
        <v>8</v>
      </c>
      <c r="H43" s="30">
        <f>TRUNC(H27*H9+1)</f>
        <v>2</v>
      </c>
    </row>
    <row r="44" spans="1:8">
      <c r="A44" s="34" t="s">
        <v>43</v>
      </c>
      <c r="B44" s="35"/>
      <c r="C44" s="35">
        <f t="shared" ref="C44:H44" si="3">C43*$G$2</f>
        <v>160</v>
      </c>
      <c r="D44" s="35">
        <f t="shared" si="3"/>
        <v>480</v>
      </c>
      <c r="E44" s="35">
        <f t="shared" si="3"/>
        <v>1280</v>
      </c>
      <c r="F44" s="35">
        <f t="shared" si="3"/>
        <v>160</v>
      </c>
      <c r="G44" s="35">
        <f t="shared" si="3"/>
        <v>1280</v>
      </c>
      <c r="H44" s="35">
        <f t="shared" si="3"/>
        <v>320</v>
      </c>
    </row>
    <row r="45" spans="1:8">
      <c r="A45" t="s">
        <v>44</v>
      </c>
      <c r="C45" s="36">
        <f t="shared" ref="C45:H45" si="4">(C22+C23)/C44</f>
        <v>0.47499999999999998</v>
      </c>
      <c r="D45" s="36">
        <f t="shared" si="4"/>
        <v>0.93137254901960786</v>
      </c>
      <c r="E45" s="36">
        <f t="shared" si="4"/>
        <v>0.98958333333333337</v>
      </c>
      <c r="F45" s="54">
        <f>F22/(F44-F23)</f>
        <v>1.0928571428571427</v>
      </c>
      <c r="G45" s="36">
        <f t="shared" si="4"/>
        <v>0.98958333333333337</v>
      </c>
      <c r="H45" s="36">
        <f t="shared" si="4"/>
        <v>0.98958333333333337</v>
      </c>
    </row>
    <row r="46" spans="1:8">
      <c r="A46" s="20" t="s">
        <v>45</v>
      </c>
      <c r="B46" s="19"/>
      <c r="C46" s="19"/>
      <c r="D46" s="19"/>
      <c r="E46" s="19"/>
      <c r="F46" s="19"/>
      <c r="G46" s="19"/>
      <c r="H46" s="21"/>
    </row>
    <row r="47" spans="1:8">
      <c r="A47" s="47" t="s">
        <v>38</v>
      </c>
      <c r="B47" s="48">
        <f>SUM(C47:H47)</f>
        <v>34</v>
      </c>
      <c r="C47" s="30">
        <f t="shared" ref="C47:H47" si="5">C43*C11</f>
        <v>1</v>
      </c>
      <c r="D47" s="30">
        <f t="shared" si="5"/>
        <v>3</v>
      </c>
      <c r="E47" s="30">
        <f t="shared" si="5"/>
        <v>16</v>
      </c>
      <c r="F47" s="30">
        <f t="shared" si="5"/>
        <v>2</v>
      </c>
      <c r="G47" s="30">
        <f t="shared" si="5"/>
        <v>8</v>
      </c>
      <c r="H47" s="30">
        <f t="shared" si="5"/>
        <v>4</v>
      </c>
    </row>
    <row r="50" spans="1:8">
      <c r="A50" s="5" t="s">
        <v>46</v>
      </c>
      <c r="G50">
        <f>TRUNC(B47/(1-G3)+1)</f>
        <v>38</v>
      </c>
    </row>
    <row r="53" spans="1:8">
      <c r="A53" s="5"/>
    </row>
    <row r="54" spans="1:8">
      <c r="A54" s="29" t="s">
        <v>47</v>
      </c>
      <c r="B54" s="38"/>
      <c r="C54" s="50"/>
      <c r="D54" s="51" t="s">
        <v>48</v>
      </c>
      <c r="E54" s="51" t="s">
        <v>49</v>
      </c>
      <c r="F54" s="51" t="s">
        <v>50</v>
      </c>
      <c r="G54" s="51" t="s">
        <v>51</v>
      </c>
      <c r="H54" s="51" t="s">
        <v>52</v>
      </c>
    </row>
    <row r="55" spans="1:8">
      <c r="A55" s="8" t="s">
        <v>53</v>
      </c>
      <c r="C55" s="9"/>
      <c r="D55" s="13">
        <v>4000</v>
      </c>
      <c r="E55" s="13">
        <v>2000</v>
      </c>
      <c r="F55" s="13">
        <v>1000</v>
      </c>
      <c r="G55" s="13">
        <v>400</v>
      </c>
      <c r="H55" s="13">
        <v>200</v>
      </c>
    </row>
    <row r="56" spans="1:8">
      <c r="A56" s="7"/>
      <c r="C56" s="9"/>
      <c r="D56" s="13"/>
      <c r="E56" s="13"/>
      <c r="F56" s="13"/>
      <c r="G56" s="13"/>
      <c r="H56" s="13"/>
    </row>
    <row r="57" spans="1:8">
      <c r="A57" s="8" t="s">
        <v>54</v>
      </c>
      <c r="C57" s="9"/>
      <c r="D57" s="13">
        <f>D55/4</f>
        <v>1000</v>
      </c>
      <c r="E57" s="13">
        <f>E55/4</f>
        <v>500</v>
      </c>
      <c r="F57" s="13">
        <f>F55/4</f>
        <v>250</v>
      </c>
      <c r="G57" s="13">
        <f>G55/4</f>
        <v>100</v>
      </c>
      <c r="H57" s="13">
        <f>H55/4</f>
        <v>50</v>
      </c>
    </row>
    <row r="58" spans="1:8">
      <c r="A58" s="7"/>
      <c r="C58" s="9"/>
      <c r="D58" s="13"/>
      <c r="E58" s="13"/>
      <c r="F58" s="13"/>
      <c r="G58" s="13"/>
      <c r="H58" s="13"/>
    </row>
    <row r="59" spans="1:8">
      <c r="A59" s="8" t="s">
        <v>55</v>
      </c>
      <c r="C59" s="9"/>
      <c r="D59" s="15">
        <f>D57/40</f>
        <v>25</v>
      </c>
      <c r="E59" s="15">
        <f>E57/40</f>
        <v>12.5</v>
      </c>
      <c r="F59" s="15">
        <f>F57/40</f>
        <v>6.25</v>
      </c>
      <c r="G59" s="15">
        <f>G57/40</f>
        <v>2.5</v>
      </c>
      <c r="H59" s="15">
        <f>H57/40</f>
        <v>1.25</v>
      </c>
    </row>
    <row r="60" spans="1:8">
      <c r="A60" s="7"/>
      <c r="C60" s="9"/>
      <c r="D60" s="13"/>
      <c r="E60" s="13"/>
      <c r="F60" s="13"/>
      <c r="G60" s="13"/>
      <c r="H60" s="13"/>
    </row>
    <row r="61" spans="1:8">
      <c r="A61" s="8" t="s">
        <v>56</v>
      </c>
      <c r="C61" s="9"/>
      <c r="D61" s="13"/>
      <c r="E61" s="13"/>
      <c r="F61" s="13"/>
      <c r="G61" s="13"/>
      <c r="H61" s="13"/>
    </row>
    <row r="62" spans="1:8">
      <c r="A62" s="7"/>
      <c r="B62">
        <f>SUM(D62:H62)</f>
        <v>40.000000000000007</v>
      </c>
      <c r="C62" s="9"/>
      <c r="D62" s="15">
        <f>D57/$G$25</f>
        <v>21.05263157894737</v>
      </c>
      <c r="E62" s="15">
        <f>E57/$G$25</f>
        <v>10.526315789473685</v>
      </c>
      <c r="F62" s="15">
        <f>F57/$G$25</f>
        <v>5.2631578947368425</v>
      </c>
      <c r="G62" s="15">
        <f>G57/$G$25</f>
        <v>2.1052631578947367</v>
      </c>
      <c r="H62" s="15">
        <f>H57/$G$25</f>
        <v>1.0526315789473684</v>
      </c>
    </row>
    <row r="63" spans="1:8">
      <c r="A63" s="7"/>
      <c r="C63" s="9"/>
      <c r="D63" s="13"/>
      <c r="E63" s="13"/>
      <c r="F63" s="13"/>
      <c r="G63" s="13"/>
      <c r="H63" s="13"/>
    </row>
    <row r="64" spans="1:8">
      <c r="A64" s="8" t="s">
        <v>57</v>
      </c>
      <c r="C64" s="9"/>
      <c r="D64" s="14">
        <f>($G$25-D59)*D62</f>
        <v>473.68421052631584</v>
      </c>
      <c r="E64" s="14">
        <f>($G$25-E59)*E62</f>
        <v>368.42105263157896</v>
      </c>
      <c r="F64" s="14">
        <f>($G$25-F59)*F62</f>
        <v>217.10526315789474</v>
      </c>
      <c r="G64" s="14">
        <f>($G$25-G59)*G62</f>
        <v>94.73684210526315</v>
      </c>
      <c r="H64" s="14">
        <f>($G$25-H59)*H62</f>
        <v>48.684210526315788</v>
      </c>
    </row>
    <row r="65" spans="1:8">
      <c r="A65" s="7"/>
      <c r="C65" s="9"/>
      <c r="D65" s="14"/>
      <c r="E65" s="14"/>
      <c r="F65" s="14"/>
      <c r="G65" s="14"/>
      <c r="H65" s="14"/>
    </row>
    <row r="66" spans="1:8">
      <c r="A66" s="24" t="s">
        <v>58</v>
      </c>
      <c r="B66" s="22"/>
      <c r="C66" s="25"/>
      <c r="D66" s="27">
        <f>D64/2</f>
        <v>236.84210526315792</v>
      </c>
      <c r="E66" s="27">
        <f>E64/2</f>
        <v>184.21052631578948</v>
      </c>
      <c r="F66" s="27">
        <f>F64/2</f>
        <v>108.55263157894737</v>
      </c>
      <c r="G66" s="27">
        <f>G64/2</f>
        <v>47.368421052631575</v>
      </c>
      <c r="H66" s="27">
        <f>H64/2</f>
        <v>24.342105263157894</v>
      </c>
    </row>
    <row r="67" spans="1:8">
      <c r="C67" s="1"/>
      <c r="D67" s="1"/>
      <c r="E67" s="1"/>
      <c r="F67" s="1"/>
      <c r="G67" s="1"/>
    </row>
    <row r="68" spans="1:8">
      <c r="A68" s="5" t="s">
        <v>59</v>
      </c>
      <c r="C68" s="1">
        <f>SUM(D66:H66)</f>
        <v>601.31578947368428</v>
      </c>
      <c r="D68" s="6" t="s">
        <v>60</v>
      </c>
      <c r="E68" s="1"/>
      <c r="F68" s="1"/>
      <c r="G68" s="1"/>
    </row>
    <row r="70" spans="1:8">
      <c r="A70" s="5" t="s">
        <v>61</v>
      </c>
      <c r="C70" s="1">
        <f>C68*$G$5</f>
        <v>120263.15789473685</v>
      </c>
      <c r="D70" s="5" t="s">
        <v>84</v>
      </c>
    </row>
    <row r="72" spans="1:8">
      <c r="A72" s="5" t="s">
        <v>62</v>
      </c>
    </row>
    <row r="73" spans="1:8">
      <c r="A73" s="5" t="s">
        <v>63</v>
      </c>
    </row>
    <row r="75" spans="1:8">
      <c r="A75" s="5" t="s">
        <v>64</v>
      </c>
    </row>
    <row r="76" spans="1:8">
      <c r="A76" s="5" t="s">
        <v>65</v>
      </c>
    </row>
    <row r="78" spans="1:8">
      <c r="A78" s="5" t="s">
        <v>66</v>
      </c>
    </row>
    <row r="80" spans="1:8">
      <c r="A80" s="5" t="s">
        <v>67</v>
      </c>
    </row>
    <row r="81" spans="1:1">
      <c r="A81" s="5" t="s">
        <v>68</v>
      </c>
    </row>
    <row r="83" spans="1:1">
      <c r="A83" s="5" t="s">
        <v>69</v>
      </c>
    </row>
    <row r="85" spans="1:1">
      <c r="A85" s="5" t="s">
        <v>70</v>
      </c>
    </row>
    <row r="86" spans="1:1">
      <c r="A86" s="5" t="s">
        <v>71</v>
      </c>
    </row>
    <row r="87" spans="1:1">
      <c r="A87" s="5" t="s">
        <v>72</v>
      </c>
    </row>
    <row r="89" spans="1:1">
      <c r="A89" s="5" t="s">
        <v>73</v>
      </c>
    </row>
    <row r="90" spans="1:1">
      <c r="A90" s="5" t="s">
        <v>74</v>
      </c>
    </row>
    <row r="91" spans="1:1">
      <c r="A91" s="5" t="s">
        <v>75</v>
      </c>
    </row>
    <row r="93" spans="1:1">
      <c r="A93" s="5" t="s">
        <v>76</v>
      </c>
    </row>
    <row r="95" spans="1:1">
      <c r="A95" s="5" t="s">
        <v>77</v>
      </c>
    </row>
    <row r="96" spans="1:1">
      <c r="A96" s="5" t="s">
        <v>78</v>
      </c>
    </row>
    <row r="98" spans="1:1">
      <c r="A98" s="5" t="s">
        <v>79</v>
      </c>
    </row>
    <row r="99" spans="1:1">
      <c r="A99" s="5" t="s">
        <v>80</v>
      </c>
    </row>
    <row r="101" spans="1:1">
      <c r="A101" s="5" t="s">
        <v>81</v>
      </c>
    </row>
    <row r="102" spans="1:1">
      <c r="A102" s="5" t="s">
        <v>82</v>
      </c>
    </row>
    <row r="103" spans="1:1">
      <c r="A103" s="5" t="s">
        <v>83</v>
      </c>
    </row>
  </sheetData>
  <phoneticPr fontId="0" type="noConversion"/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rowBreaks count="1" manualBreakCount="1">
    <brk id="5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METALARM</vt:lpstr>
      <vt:lpstr>METALARM!Zone_d_impression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2003-09-29T12:40:16Z</dcterms:created>
  <dcterms:modified xsi:type="dcterms:W3CDTF">2016-02-01T08:21:00Z</dcterms:modified>
</cp:coreProperties>
</file>