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65" windowWidth="8610" windowHeight="5565"/>
  </bookViews>
  <sheets>
    <sheet name="PFSA" sheetId="1" r:id="rId1"/>
    <sheet name="Stocks" sheetId="4" r:id="rId2"/>
    <sheet name="Valeur des stocks" sheetId="3" r:id="rId3"/>
    <sheet name="Charge" sheetId="2" r:id="rId4"/>
  </sheets>
  <definedNames>
    <definedName name="CoutCmde">PFSA!$E$6</definedName>
    <definedName name="PrixA1">PFSA!$C$11</definedName>
    <definedName name="PrixA2">PFSA!$D$11</definedName>
    <definedName name="PrixA3">PFSA!$E$11</definedName>
    <definedName name="TauxDet">PFSA!$E$7</definedName>
  </definedNames>
  <calcPr calcId="125725"/>
</workbook>
</file>

<file path=xl/calcChain.xml><?xml version="1.0" encoding="utf-8"?>
<calcChain xmlns="http://schemas.openxmlformats.org/spreadsheetml/2006/main">
  <c r="C21" i="1"/>
  <c r="P59" s="1"/>
  <c r="D21"/>
  <c r="C22"/>
  <c r="D22"/>
  <c r="E22"/>
  <c r="F22"/>
  <c r="C23"/>
  <c r="E21" s="1"/>
  <c r="D23"/>
  <c r="C30"/>
  <c r="D30"/>
  <c r="E30"/>
  <c r="F30"/>
  <c r="G30"/>
  <c r="H77" s="1"/>
  <c r="H30"/>
  <c r="H36" s="1"/>
  <c r="I30"/>
  <c r="I32" s="1"/>
  <c r="J30"/>
  <c r="J32" s="1"/>
  <c r="K30"/>
  <c r="L30"/>
  <c r="M30"/>
  <c r="N30"/>
  <c r="O30"/>
  <c r="O48" s="1"/>
  <c r="P30"/>
  <c r="P36" s="1"/>
  <c r="C31"/>
  <c r="D31"/>
  <c r="E31"/>
  <c r="F31"/>
  <c r="G31"/>
  <c r="H31"/>
  <c r="I31"/>
  <c r="I78" s="1"/>
  <c r="J31"/>
  <c r="K31"/>
  <c r="L31"/>
  <c r="M31"/>
  <c r="N31"/>
  <c r="O31"/>
  <c r="P31"/>
  <c r="C32"/>
  <c r="C33" s="1"/>
  <c r="D32"/>
  <c r="E32"/>
  <c r="F32"/>
  <c r="K32"/>
  <c r="L32"/>
  <c r="M32"/>
  <c r="N32"/>
  <c r="O35"/>
  <c r="P35"/>
  <c r="Q35"/>
  <c r="R35"/>
  <c r="C36"/>
  <c r="C38" s="1"/>
  <c r="D36"/>
  <c r="E36"/>
  <c r="F36"/>
  <c r="I36"/>
  <c r="J36"/>
  <c r="K36"/>
  <c r="L36"/>
  <c r="M36"/>
  <c r="N36"/>
  <c r="C37"/>
  <c r="O39"/>
  <c r="P76" s="1"/>
  <c r="P39"/>
  <c r="Q39"/>
  <c r="R39"/>
  <c r="O40"/>
  <c r="P40"/>
  <c r="O43"/>
  <c r="P43"/>
  <c r="O44"/>
  <c r="P44"/>
  <c r="O47"/>
  <c r="P47"/>
  <c r="O51"/>
  <c r="P51"/>
  <c r="B63"/>
  <c r="B65"/>
  <c r="B68" s="1"/>
  <c r="B66"/>
  <c r="B67"/>
  <c r="P75"/>
  <c r="C77"/>
  <c r="D77"/>
  <c r="E77"/>
  <c r="F77"/>
  <c r="L77"/>
  <c r="M77"/>
  <c r="N77"/>
  <c r="F78"/>
  <c r="G78"/>
  <c r="H78"/>
  <c r="N78"/>
  <c r="O78"/>
  <c r="P78"/>
  <c r="C84"/>
  <c r="D84"/>
  <c r="E84" s="1"/>
  <c r="F84" s="1"/>
  <c r="G84" s="1"/>
  <c r="H84" s="1"/>
  <c r="I84" s="1"/>
  <c r="J84" s="1"/>
  <c r="K84" s="1"/>
  <c r="L84" s="1"/>
  <c r="M84" s="1"/>
  <c r="N84" s="1"/>
  <c r="O84" s="1"/>
  <c r="P84" s="1"/>
  <c r="C91"/>
  <c r="F102"/>
  <c r="G102"/>
  <c r="H102"/>
  <c r="I102"/>
  <c r="K102"/>
  <c r="L102"/>
  <c r="M102"/>
  <c r="N102"/>
  <c r="O102"/>
  <c r="P102"/>
  <c r="O111"/>
  <c r="P111"/>
  <c r="D112"/>
  <c r="F122"/>
  <c r="G122"/>
  <c r="H122"/>
  <c r="I122"/>
  <c r="J122"/>
  <c r="K122"/>
  <c r="L122"/>
  <c r="M122"/>
  <c r="N122"/>
  <c r="E125"/>
  <c r="O131"/>
  <c r="P131"/>
  <c r="D132"/>
  <c r="E133"/>
  <c r="G144"/>
  <c r="H144"/>
  <c r="I144"/>
  <c r="K144"/>
  <c r="L144"/>
  <c r="M144"/>
  <c r="O144"/>
  <c r="P144"/>
  <c r="D37" l="1"/>
  <c r="C63"/>
  <c r="D38"/>
  <c r="D56"/>
  <c r="L56"/>
  <c r="M56"/>
  <c r="C56"/>
  <c r="O56"/>
  <c r="F56"/>
  <c r="E23"/>
  <c r="N56"/>
  <c r="G56"/>
  <c r="E56"/>
  <c r="P79"/>
  <c r="P82" s="1"/>
  <c r="O77"/>
  <c r="J78"/>
  <c r="P77"/>
  <c r="P60"/>
  <c r="P61" s="1"/>
  <c r="P56"/>
  <c r="H56"/>
  <c r="P48"/>
  <c r="F21"/>
  <c r="L57" s="1"/>
  <c r="K78"/>
  <c r="C78"/>
  <c r="I77"/>
  <c r="I56"/>
  <c r="C34"/>
  <c r="C62" s="1"/>
  <c r="O32"/>
  <c r="G32"/>
  <c r="G77"/>
  <c r="B62"/>
  <c r="B64" s="1"/>
  <c r="B70" s="1"/>
  <c r="L78"/>
  <c r="D78"/>
  <c r="J77"/>
  <c r="J56"/>
  <c r="P32"/>
  <c r="H32"/>
  <c r="D92"/>
  <c r="M78"/>
  <c r="E78"/>
  <c r="K77"/>
  <c r="K56"/>
  <c r="O36"/>
  <c r="G36"/>
  <c r="G58" l="1"/>
  <c r="L58"/>
  <c r="J58"/>
  <c r="M58"/>
  <c r="M57"/>
  <c r="J57"/>
  <c r="E57"/>
  <c r="D34"/>
  <c r="C57"/>
  <c r="C58" s="1"/>
  <c r="O58"/>
  <c r="D33"/>
  <c r="D63"/>
  <c r="E37"/>
  <c r="C39" s="1"/>
  <c r="E58"/>
  <c r="F57"/>
  <c r="F58" s="1"/>
  <c r="N57"/>
  <c r="P57"/>
  <c r="P58" s="1"/>
  <c r="G57"/>
  <c r="I57"/>
  <c r="I58" s="1"/>
  <c r="O57"/>
  <c r="F23"/>
  <c r="H57"/>
  <c r="D57"/>
  <c r="D58" s="1"/>
  <c r="K58"/>
  <c r="H58"/>
  <c r="K57"/>
  <c r="C64"/>
  <c r="N58"/>
  <c r="C60" l="1"/>
  <c r="C44"/>
  <c r="C76"/>
  <c r="E34"/>
  <c r="E33"/>
  <c r="C35" s="1"/>
  <c r="D62"/>
  <c r="D64" s="1"/>
  <c r="E38"/>
  <c r="C59" l="1"/>
  <c r="C61" s="1"/>
  <c r="C40"/>
  <c r="C75"/>
  <c r="C79" s="1"/>
  <c r="C48"/>
  <c r="C45"/>
  <c r="C110" s="1"/>
  <c r="C46"/>
  <c r="C66" s="1"/>
  <c r="F34"/>
  <c r="F33"/>
  <c r="D35" s="1"/>
  <c r="D75" s="1"/>
  <c r="E62"/>
  <c r="E64" s="1"/>
  <c r="E63"/>
  <c r="F37"/>
  <c r="D39" s="1"/>
  <c r="F38"/>
  <c r="D79" l="1"/>
  <c r="D82" s="1"/>
  <c r="F62"/>
  <c r="F64" s="1"/>
  <c r="G34"/>
  <c r="G33"/>
  <c r="E35" s="1"/>
  <c r="C42"/>
  <c r="C65" s="1"/>
  <c r="C41"/>
  <c r="C89" s="1"/>
  <c r="D44"/>
  <c r="D76"/>
  <c r="D60"/>
  <c r="C82"/>
  <c r="C83"/>
  <c r="D59"/>
  <c r="F63"/>
  <c r="G37"/>
  <c r="E39" s="1"/>
  <c r="C49"/>
  <c r="C130" s="1"/>
  <c r="C50"/>
  <c r="C67" s="1"/>
  <c r="D40"/>
  <c r="D48"/>
  <c r="E44" l="1"/>
  <c r="E45" s="1"/>
  <c r="G62"/>
  <c r="H33"/>
  <c r="F35" s="1"/>
  <c r="H34" s="1"/>
  <c r="E40"/>
  <c r="E48"/>
  <c r="F75"/>
  <c r="D41"/>
  <c r="D89" s="1"/>
  <c r="D42"/>
  <c r="D49"/>
  <c r="D130" s="1"/>
  <c r="D50"/>
  <c r="D46"/>
  <c r="D45"/>
  <c r="D110" s="1"/>
  <c r="E60"/>
  <c r="D83"/>
  <c r="E83" s="1"/>
  <c r="C68"/>
  <c r="C70" s="1"/>
  <c r="E75"/>
  <c r="E79" s="1"/>
  <c r="E82" s="1"/>
  <c r="D61"/>
  <c r="E59"/>
  <c r="G38"/>
  <c r="E76"/>
  <c r="I34" l="1"/>
  <c r="H62"/>
  <c r="I33"/>
  <c r="G35" s="1"/>
  <c r="E110"/>
  <c r="C47"/>
  <c r="C111" s="1"/>
  <c r="F40"/>
  <c r="G75"/>
  <c r="G59"/>
  <c r="F48"/>
  <c r="D65"/>
  <c r="E41"/>
  <c r="D67"/>
  <c r="G63"/>
  <c r="G64" s="1"/>
  <c r="H38"/>
  <c r="H37"/>
  <c r="F39" s="1"/>
  <c r="E46"/>
  <c r="D66"/>
  <c r="F59"/>
  <c r="E61"/>
  <c r="E49"/>
  <c r="C51" l="1"/>
  <c r="E130"/>
  <c r="I62"/>
  <c r="J33"/>
  <c r="H35" s="1"/>
  <c r="J34" s="1"/>
  <c r="H75"/>
  <c r="G40"/>
  <c r="H59"/>
  <c r="C43"/>
  <c r="E89"/>
  <c r="D68"/>
  <c r="D70" s="1"/>
  <c r="H63"/>
  <c r="H64" s="1"/>
  <c r="I38"/>
  <c r="I37"/>
  <c r="G39" s="1"/>
  <c r="G76" s="1"/>
  <c r="G79" s="1"/>
  <c r="G82" s="1"/>
  <c r="F44"/>
  <c r="F45" s="1"/>
  <c r="F76"/>
  <c r="F79" s="1"/>
  <c r="F60"/>
  <c r="F61" s="1"/>
  <c r="E66"/>
  <c r="J62" l="1"/>
  <c r="K34"/>
  <c r="K33"/>
  <c r="I35" s="1"/>
  <c r="D47"/>
  <c r="F110"/>
  <c r="F123" s="1"/>
  <c r="C90"/>
  <c r="E42"/>
  <c r="H61"/>
  <c r="G48"/>
  <c r="C131"/>
  <c r="E50"/>
  <c r="I63"/>
  <c r="J37"/>
  <c r="H39" s="1"/>
  <c r="I64"/>
  <c r="H76"/>
  <c r="H79" s="1"/>
  <c r="H82" s="1"/>
  <c r="H60"/>
  <c r="G44"/>
  <c r="F82"/>
  <c r="F83"/>
  <c r="G83" s="1"/>
  <c r="H40"/>
  <c r="H48"/>
  <c r="G60"/>
  <c r="G61" s="1"/>
  <c r="J59" l="1"/>
  <c r="I40"/>
  <c r="H83"/>
  <c r="L34"/>
  <c r="K62"/>
  <c r="L33"/>
  <c r="J35" s="1"/>
  <c r="E67"/>
  <c r="F49"/>
  <c r="H44"/>
  <c r="D111"/>
  <c r="F46"/>
  <c r="E65"/>
  <c r="E68" s="1"/>
  <c r="E70" s="1"/>
  <c r="F41"/>
  <c r="J38"/>
  <c r="I75"/>
  <c r="I59"/>
  <c r="J40" l="1"/>
  <c r="D43"/>
  <c r="F89"/>
  <c r="M33"/>
  <c r="K35" s="1"/>
  <c r="K59" s="1"/>
  <c r="L62"/>
  <c r="F66"/>
  <c r="F130"/>
  <c r="D51"/>
  <c r="G45"/>
  <c r="K38"/>
  <c r="J63"/>
  <c r="J64" s="1"/>
  <c r="K37"/>
  <c r="I39" s="1"/>
  <c r="J75"/>
  <c r="K75" l="1"/>
  <c r="E47"/>
  <c r="G110"/>
  <c r="G123" s="1"/>
  <c r="L38"/>
  <c r="K63"/>
  <c r="K64" s="1"/>
  <c r="L37"/>
  <c r="J39" s="1"/>
  <c r="D131"/>
  <c r="F50"/>
  <c r="D90"/>
  <c r="F42"/>
  <c r="K40"/>
  <c r="J76"/>
  <c r="J60"/>
  <c r="J61" s="1"/>
  <c r="I44"/>
  <c r="I76"/>
  <c r="I79" s="1"/>
  <c r="I48"/>
  <c r="I60"/>
  <c r="I61" s="1"/>
  <c r="M34"/>
  <c r="J79"/>
  <c r="J82" s="1"/>
  <c r="I82" l="1"/>
  <c r="I83"/>
  <c r="J83" s="1"/>
  <c r="E111"/>
  <c r="G46"/>
  <c r="M37"/>
  <c r="K39" s="1"/>
  <c r="M38"/>
  <c r="L63"/>
  <c r="L64" s="1"/>
  <c r="F65"/>
  <c r="F68" s="1"/>
  <c r="F70" s="1"/>
  <c r="G41"/>
  <c r="G124"/>
  <c r="M62"/>
  <c r="N33"/>
  <c r="L35" s="1"/>
  <c r="K79"/>
  <c r="K82" s="1"/>
  <c r="F67"/>
  <c r="G49"/>
  <c r="D91"/>
  <c r="K60"/>
  <c r="K61" s="1"/>
  <c r="K76"/>
  <c r="J44"/>
  <c r="J48"/>
  <c r="M63" l="1"/>
  <c r="M64" s="1"/>
  <c r="N37"/>
  <c r="L39" s="1"/>
  <c r="L48" s="1"/>
  <c r="L40"/>
  <c r="L59"/>
  <c r="L75"/>
  <c r="G89"/>
  <c r="E43"/>
  <c r="K83"/>
  <c r="E112"/>
  <c r="G130"/>
  <c r="E51"/>
  <c r="G66"/>
  <c r="H45"/>
  <c r="L76"/>
  <c r="K44"/>
  <c r="K48"/>
  <c r="N34"/>
  <c r="L79" l="1"/>
  <c r="L82" s="1"/>
  <c r="N38"/>
  <c r="E131"/>
  <c r="G50"/>
  <c r="E90"/>
  <c r="G42"/>
  <c r="N62"/>
  <c r="O33"/>
  <c r="M35" s="1"/>
  <c r="L44"/>
  <c r="H110"/>
  <c r="H123" s="1"/>
  <c r="F47"/>
  <c r="L60"/>
  <c r="L61" s="1"/>
  <c r="H124" l="1"/>
  <c r="G67"/>
  <c r="H49"/>
  <c r="M40"/>
  <c r="M48"/>
  <c r="M59"/>
  <c r="M75"/>
  <c r="N63"/>
  <c r="N64" s="1"/>
  <c r="O38"/>
  <c r="O37"/>
  <c r="M39" s="1"/>
  <c r="E132"/>
  <c r="E92"/>
  <c r="E91"/>
  <c r="F111"/>
  <c r="F112" s="1"/>
  <c r="H46"/>
  <c r="G65"/>
  <c r="G68" s="1"/>
  <c r="G70" s="1"/>
  <c r="H41"/>
  <c r="O34"/>
  <c r="L83"/>
  <c r="M61" l="1"/>
  <c r="H89"/>
  <c r="F43"/>
  <c r="F94"/>
  <c r="O63"/>
  <c r="P37"/>
  <c r="N39" s="1"/>
  <c r="P38" s="1"/>
  <c r="P63" s="1"/>
  <c r="F51"/>
  <c r="H130"/>
  <c r="O62"/>
  <c r="O64" s="1"/>
  <c r="P33"/>
  <c r="N35" s="1"/>
  <c r="P34" s="1"/>
  <c r="P62" s="1"/>
  <c r="P64" s="1"/>
  <c r="M44"/>
  <c r="N60"/>
  <c r="N76"/>
  <c r="M60"/>
  <c r="M76"/>
  <c r="M79" s="1"/>
  <c r="H66"/>
  <c r="I45"/>
  <c r="F134"/>
  <c r="M82" l="1"/>
  <c r="M83"/>
  <c r="N83" s="1"/>
  <c r="F131"/>
  <c r="H50"/>
  <c r="G47"/>
  <c r="I110"/>
  <c r="I123" s="1"/>
  <c r="F90"/>
  <c r="H42"/>
  <c r="N40"/>
  <c r="N48"/>
  <c r="O75"/>
  <c r="O59"/>
  <c r="N75"/>
  <c r="N79" s="1"/>
  <c r="N82" s="1"/>
  <c r="N59"/>
  <c r="N61" s="1"/>
  <c r="N44"/>
  <c r="O76"/>
  <c r="O60"/>
  <c r="F91" l="1"/>
  <c r="F92"/>
  <c r="F133"/>
  <c r="F132"/>
  <c r="H67"/>
  <c r="I49"/>
  <c r="O61"/>
  <c r="I124"/>
  <c r="H65"/>
  <c r="I41"/>
  <c r="G111"/>
  <c r="G112" s="1"/>
  <c r="I46"/>
  <c r="O79"/>
  <c r="O82" s="1"/>
  <c r="I130" l="1"/>
  <c r="G51"/>
  <c r="H68"/>
  <c r="H70" s="1"/>
  <c r="I66"/>
  <c r="J45"/>
  <c r="I89"/>
  <c r="G43"/>
  <c r="H116"/>
  <c r="G135"/>
  <c r="O83"/>
  <c r="P83" s="1"/>
  <c r="G131" l="1"/>
  <c r="I50"/>
  <c r="H47"/>
  <c r="J110"/>
  <c r="J123" s="1"/>
  <c r="G90"/>
  <c r="I42"/>
  <c r="H111" l="1"/>
  <c r="H112" s="1"/>
  <c r="J46"/>
  <c r="I67"/>
  <c r="J49"/>
  <c r="G134"/>
  <c r="D143"/>
  <c r="G133"/>
  <c r="G132"/>
  <c r="J124"/>
  <c r="G94"/>
  <c r="C101"/>
  <c r="G92"/>
  <c r="G91"/>
  <c r="I65"/>
  <c r="I68" s="1"/>
  <c r="I70" s="1"/>
  <c r="J41"/>
  <c r="H136" l="1"/>
  <c r="H51"/>
  <c r="J130"/>
  <c r="H96"/>
  <c r="J66"/>
  <c r="K45"/>
  <c r="J89"/>
  <c r="H43"/>
  <c r="E102"/>
  <c r="E103" s="1"/>
  <c r="F144"/>
  <c r="F145" s="1"/>
  <c r="F146" l="1"/>
  <c r="G145"/>
  <c r="I47"/>
  <c r="K110"/>
  <c r="K123" s="1"/>
  <c r="H131"/>
  <c r="J50"/>
  <c r="H90"/>
  <c r="J42"/>
  <c r="F103"/>
  <c r="E104"/>
  <c r="H135" l="1"/>
  <c r="H134"/>
  <c r="H132"/>
  <c r="H133"/>
  <c r="H145"/>
  <c r="G146"/>
  <c r="J65"/>
  <c r="J68" s="1"/>
  <c r="J70" s="1"/>
  <c r="K41"/>
  <c r="G103"/>
  <c r="F104"/>
  <c r="I111"/>
  <c r="K46"/>
  <c r="K124"/>
  <c r="J67"/>
  <c r="K49"/>
  <c r="H92"/>
  <c r="H91"/>
  <c r="H94"/>
  <c r="I97" l="1"/>
  <c r="K66"/>
  <c r="L45"/>
  <c r="I145"/>
  <c r="H146"/>
  <c r="I51"/>
  <c r="K130"/>
  <c r="I137"/>
  <c r="H103"/>
  <c r="G104"/>
  <c r="K89"/>
  <c r="I43"/>
  <c r="I116"/>
  <c r="I112"/>
  <c r="I90" l="1"/>
  <c r="K42"/>
  <c r="I131"/>
  <c r="K50"/>
  <c r="J47"/>
  <c r="L110"/>
  <c r="L123" s="1"/>
  <c r="H104"/>
  <c r="I103"/>
  <c r="I146"/>
  <c r="J111" l="1"/>
  <c r="L46"/>
  <c r="I96"/>
  <c r="I92"/>
  <c r="I94"/>
  <c r="I91"/>
  <c r="I104"/>
  <c r="K65"/>
  <c r="K68" s="1"/>
  <c r="K70" s="1"/>
  <c r="L41"/>
  <c r="I136"/>
  <c r="I134"/>
  <c r="I135"/>
  <c r="I132"/>
  <c r="I133"/>
  <c r="L124"/>
  <c r="K67"/>
  <c r="L49"/>
  <c r="J138" l="1"/>
  <c r="J112"/>
  <c r="J116"/>
  <c r="L66"/>
  <c r="M45"/>
  <c r="J43"/>
  <c r="L89"/>
  <c r="J51"/>
  <c r="L130"/>
  <c r="M110" l="1"/>
  <c r="M123" s="1"/>
  <c r="K47"/>
  <c r="J90"/>
  <c r="L42"/>
  <c r="J131"/>
  <c r="L50"/>
  <c r="M124" l="1"/>
  <c r="J97"/>
  <c r="J91"/>
  <c r="J94"/>
  <c r="J92"/>
  <c r="J96"/>
  <c r="L67"/>
  <c r="M49"/>
  <c r="K111"/>
  <c r="M46"/>
  <c r="L65"/>
  <c r="M41"/>
  <c r="J137"/>
  <c r="J134"/>
  <c r="J132"/>
  <c r="J133"/>
  <c r="J136"/>
  <c r="J135"/>
  <c r="M66" l="1"/>
  <c r="N45"/>
  <c r="M130"/>
  <c r="K51"/>
  <c r="L68"/>
  <c r="L70" s="1"/>
  <c r="K139"/>
  <c r="K116"/>
  <c r="K112"/>
  <c r="K43"/>
  <c r="M89"/>
  <c r="K90" l="1"/>
  <c r="M42"/>
  <c r="K131"/>
  <c r="M50"/>
  <c r="L47"/>
  <c r="N110"/>
  <c r="N123" s="1"/>
  <c r="L120"/>
  <c r="K94" l="1"/>
  <c r="K91"/>
  <c r="K92"/>
  <c r="K96"/>
  <c r="K97"/>
  <c r="K138"/>
  <c r="H143"/>
  <c r="K136"/>
  <c r="K132"/>
  <c r="K134"/>
  <c r="K133"/>
  <c r="K135"/>
  <c r="K137"/>
  <c r="M65"/>
  <c r="N41"/>
  <c r="M67"/>
  <c r="N49"/>
  <c r="L111"/>
  <c r="N46"/>
  <c r="N124"/>
  <c r="L43" l="1"/>
  <c r="N89"/>
  <c r="L140"/>
  <c r="M140" s="1"/>
  <c r="L116"/>
  <c r="L112"/>
  <c r="N66"/>
  <c r="O45"/>
  <c r="L100"/>
  <c r="N130"/>
  <c r="L51"/>
  <c r="J144"/>
  <c r="J145" s="1"/>
  <c r="M68"/>
  <c r="M70" s="1"/>
  <c r="L90" l="1"/>
  <c r="N42"/>
  <c r="O110"/>
  <c r="O123" s="1"/>
  <c r="M47"/>
  <c r="L131"/>
  <c r="N50"/>
  <c r="J146"/>
  <c r="K145"/>
  <c r="O42" l="1"/>
  <c r="N65"/>
  <c r="O41"/>
  <c r="M43" s="1"/>
  <c r="M90" s="1"/>
  <c r="M100" s="1"/>
  <c r="O124"/>
  <c r="L145"/>
  <c r="K146"/>
  <c r="L139"/>
  <c r="M139" s="1"/>
  <c r="L138"/>
  <c r="M138" s="1"/>
  <c r="L135"/>
  <c r="M135" s="1"/>
  <c r="L133"/>
  <c r="M133" s="1"/>
  <c r="L134"/>
  <c r="M134" s="1"/>
  <c r="L132"/>
  <c r="M132" s="1"/>
  <c r="L136"/>
  <c r="M136" s="1"/>
  <c r="L137"/>
  <c r="M137" s="1"/>
  <c r="L96"/>
  <c r="M96" s="1"/>
  <c r="L97"/>
  <c r="M97" s="1"/>
  <c r="L92"/>
  <c r="L91"/>
  <c r="L94"/>
  <c r="M111"/>
  <c r="O46"/>
  <c r="N67"/>
  <c r="O49"/>
  <c r="P42" l="1"/>
  <c r="P65" s="1"/>
  <c r="O65"/>
  <c r="P41"/>
  <c r="N43" s="1"/>
  <c r="N90" s="1"/>
  <c r="M92"/>
  <c r="M91"/>
  <c r="N142"/>
  <c r="L146"/>
  <c r="M145"/>
  <c r="M94"/>
  <c r="O130"/>
  <c r="M51"/>
  <c r="O50" s="1"/>
  <c r="N68"/>
  <c r="N70" s="1"/>
  <c r="O66"/>
  <c r="P45"/>
  <c r="N100"/>
  <c r="E106" l="1"/>
  <c r="H101"/>
  <c r="N92"/>
  <c r="M146"/>
  <c r="N91"/>
  <c r="N47"/>
  <c r="P110"/>
  <c r="P123" s="1"/>
  <c r="P124" s="1"/>
  <c r="K125" s="1"/>
  <c r="O125" s="1"/>
  <c r="N97"/>
  <c r="O67"/>
  <c r="O68" s="1"/>
  <c r="O70" s="1"/>
  <c r="P49"/>
  <c r="N94"/>
  <c r="N96"/>
  <c r="J102" l="1"/>
  <c r="J103" s="1"/>
  <c r="E105"/>
  <c r="N51"/>
  <c r="P130"/>
  <c r="N111"/>
  <c r="E126" s="1"/>
  <c r="O126" s="1"/>
  <c r="P46"/>
  <c r="K103" l="1"/>
  <c r="J104"/>
  <c r="N131"/>
  <c r="P50"/>
  <c r="P67" s="1"/>
  <c r="Q46"/>
  <c r="R46" s="1"/>
  <c r="P66"/>
  <c r="L103" l="1"/>
  <c r="K104"/>
  <c r="E148"/>
  <c r="N140"/>
  <c r="L143"/>
  <c r="N136"/>
  <c r="N139"/>
  <c r="N134"/>
  <c r="N138"/>
  <c r="N133"/>
  <c r="N135"/>
  <c r="N137"/>
  <c r="N132"/>
  <c r="P68"/>
  <c r="P70" s="1"/>
  <c r="N144" l="1"/>
  <c r="N145" s="1"/>
  <c r="E147"/>
  <c r="L104"/>
  <c r="M103"/>
  <c r="N146" l="1"/>
  <c r="O145"/>
  <c r="N103"/>
  <c r="M104"/>
  <c r="P145" l="1"/>
  <c r="P146" s="1"/>
  <c r="K147" s="1"/>
  <c r="O147" s="1"/>
  <c r="O148" s="1"/>
  <c r="O146"/>
  <c r="N104"/>
  <c r="O103"/>
  <c r="P103" l="1"/>
  <c r="P104" s="1"/>
  <c r="K105" s="1"/>
  <c r="O105" s="1"/>
  <c r="O106" s="1"/>
  <c r="O104"/>
</calcChain>
</file>

<file path=xl/sharedStrings.xml><?xml version="1.0" encoding="utf-8"?>
<sst xmlns="http://schemas.openxmlformats.org/spreadsheetml/2006/main" count="133" uniqueCount="71">
  <si>
    <t>Exercice PFSA</t>
  </si>
  <si>
    <t>S1</t>
  </si>
  <si>
    <t>S2</t>
  </si>
  <si>
    <t xml:space="preserve">Les sous-ensembles doivent être fabriqués par lots minimum de </t>
  </si>
  <si>
    <t>Coût de passation de commande</t>
  </si>
  <si>
    <t>Coût de détention</t>
  </si>
  <si>
    <t>par semaine</t>
  </si>
  <si>
    <t>Coûts d'achat</t>
  </si>
  <si>
    <t>Temps de fabrication</t>
  </si>
  <si>
    <t>Nomenclatures</t>
  </si>
  <si>
    <t>A1</t>
  </si>
  <si>
    <t>A2</t>
  </si>
  <si>
    <t>A3</t>
  </si>
  <si>
    <t>PF1</t>
  </si>
  <si>
    <t>PF2</t>
  </si>
  <si>
    <t>Coût de l'heure de montage</t>
  </si>
  <si>
    <t>QUESTION 0 : Coût de revient des sous-ensembles et des produits finis</t>
  </si>
  <si>
    <t>Coût matière</t>
  </si>
  <si>
    <t>Coût montage</t>
  </si>
  <si>
    <t>Total</t>
  </si>
  <si>
    <t xml:space="preserve">QUESTION 1 </t>
  </si>
  <si>
    <t>Détermination des lancements P.F. et Sous-ensembles</t>
  </si>
  <si>
    <t>Détermination des cdes de composants (lot pour lot)</t>
  </si>
  <si>
    <t>Semaines</t>
  </si>
  <si>
    <t>Livraisons PF1</t>
  </si>
  <si>
    <t>Livraisons PF2</t>
  </si>
  <si>
    <t>Lancements PF1</t>
  </si>
  <si>
    <t>Lancements PF2</t>
  </si>
  <si>
    <t>Besoins bruts S1</t>
  </si>
  <si>
    <t>Besoins nets</t>
  </si>
  <si>
    <t>Stock</t>
  </si>
  <si>
    <t>Lancements S1</t>
  </si>
  <si>
    <t>Besoins bruts S2</t>
  </si>
  <si>
    <t>Stock final</t>
  </si>
  <si>
    <t>Lancements S2</t>
  </si>
  <si>
    <t>Besoins bruts A1</t>
  </si>
  <si>
    <t>Commandes A1</t>
  </si>
  <si>
    <t>Besoins bruts A2</t>
  </si>
  <si>
    <t>Commandes A2</t>
  </si>
  <si>
    <t>Besoins bruts A3</t>
  </si>
  <si>
    <t>Commandes A3</t>
  </si>
  <si>
    <t>QUESTION 2  Evolution de la valeur des stocks (base stocks finaux)</t>
  </si>
  <si>
    <t>En-cours PF</t>
  </si>
  <si>
    <t>En-cours SE</t>
  </si>
  <si>
    <t>Stocks SE</t>
  </si>
  <si>
    <t>Stocks pièces achetées</t>
  </si>
  <si>
    <t>TOTAL</t>
  </si>
  <si>
    <t>QUESTION 3  Evolution de la charge de travail</t>
  </si>
  <si>
    <t>CHARGE TOTALE</t>
  </si>
  <si>
    <t>Capacité</t>
  </si>
  <si>
    <t>Charge/capacité</t>
  </si>
  <si>
    <t>Charge cumulée</t>
  </si>
  <si>
    <t>Capacité cumulée</t>
  </si>
  <si>
    <t>Réceptions</t>
  </si>
  <si>
    <t>Coût du stock supplémentaire</t>
  </si>
  <si>
    <t>Coût total du stock supplémentaire</t>
  </si>
  <si>
    <t>Coût initial de passation de commande</t>
  </si>
  <si>
    <t>Economie</t>
  </si>
  <si>
    <t>Optimisation de la passation de commande A1</t>
  </si>
  <si>
    <t>Besoins nets A1</t>
  </si>
  <si>
    <t>Cmdes init. A1</t>
  </si>
  <si>
    <t>Commandes</t>
  </si>
  <si>
    <t>Optimisation de la passation de commande A3</t>
  </si>
  <si>
    <t>Besoins nets A3</t>
  </si>
  <si>
    <t>€</t>
  </si>
  <si>
    <t>Tous les cycles d'obtention sont de deux semaines</t>
  </si>
  <si>
    <t>Optimisation de la passation de commande A2</t>
  </si>
  <si>
    <t>Besoins nets A2</t>
  </si>
  <si>
    <t>Cmdes init. A2</t>
  </si>
  <si>
    <t>Cmdes init. A3</t>
  </si>
  <si>
    <t>Date cmde</t>
  </si>
</sst>
</file>

<file path=xl/styles.xml><?xml version="1.0" encoding="utf-8"?>
<styleSheet xmlns="http://schemas.openxmlformats.org/spreadsheetml/2006/main">
  <numFmts count="1">
    <numFmt numFmtId="172" formatCode="0.0%"/>
  </numFmts>
  <fonts count="13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2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name val="MS Sans Serif"/>
      <family val="2"/>
    </font>
    <font>
      <b/>
      <sz val="12"/>
      <color indexed="10"/>
      <name val="MS Sans Serif"/>
      <family val="2"/>
    </font>
    <font>
      <sz val="12"/>
      <color indexed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7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172" fontId="9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72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8" fillId="2" borderId="1" xfId="0" applyFont="1" applyFill="1" applyBorder="1"/>
    <xf numFmtId="0" fontId="9" fillId="2" borderId="2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4" xfId="0" applyFont="1" applyBorder="1"/>
    <xf numFmtId="0" fontId="9" fillId="0" borderId="0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9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6" xfId="0" applyFont="1" applyBorder="1"/>
    <xf numFmtId="0" fontId="9" fillId="0" borderId="3" xfId="0" applyFont="1" applyBorder="1"/>
    <xf numFmtId="0" fontId="8" fillId="0" borderId="0" xfId="0" applyFont="1" applyBorder="1"/>
    <xf numFmtId="9" fontId="9" fillId="0" borderId="7" xfId="0" applyNumberFormat="1" applyFont="1" applyBorder="1"/>
    <xf numFmtId="9" fontId="9" fillId="0" borderId="8" xfId="0" applyNumberFormat="1" applyFont="1" applyBorder="1"/>
    <xf numFmtId="0" fontId="8" fillId="0" borderId="7" xfId="0" applyFont="1" applyBorder="1"/>
    <xf numFmtId="0" fontId="9" fillId="2" borderId="3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2" xfId="0" applyFont="1" applyFill="1" applyBorder="1"/>
    <xf numFmtId="0" fontId="9" fillId="4" borderId="0" xfId="0" applyFont="1" applyFill="1"/>
    <xf numFmtId="172" fontId="9" fillId="4" borderId="0" xfId="0" applyNumberFormat="1" applyFont="1" applyFill="1"/>
    <xf numFmtId="0" fontId="10" fillId="2" borderId="0" xfId="0" applyFont="1" applyFill="1"/>
    <xf numFmtId="0" fontId="9" fillId="2" borderId="0" xfId="0" applyFont="1" applyFill="1"/>
    <xf numFmtId="0" fontId="8" fillId="3" borderId="15" xfId="0" applyFont="1" applyFill="1" applyBorder="1" applyAlignment="1">
      <alignment horizontal="center"/>
    </xf>
    <xf numFmtId="0" fontId="8" fillId="0" borderId="16" xfId="0" applyFont="1" applyBorder="1"/>
    <xf numFmtId="0" fontId="9" fillId="0" borderId="17" xfId="0" applyFont="1" applyBorder="1"/>
    <xf numFmtId="0" fontId="9" fillId="0" borderId="16" xfId="0" applyFont="1" applyBorder="1"/>
    <xf numFmtId="0" fontId="9" fillId="0" borderId="18" xfId="0" applyFont="1" applyBorder="1"/>
    <xf numFmtId="0" fontId="8" fillId="0" borderId="19" xfId="0" applyFont="1" applyBorder="1"/>
    <xf numFmtId="0" fontId="9" fillId="0" borderId="20" xfId="0" applyFont="1" applyBorder="1"/>
    <xf numFmtId="0" fontId="9" fillId="0" borderId="19" xfId="0" applyFont="1" applyBorder="1"/>
    <xf numFmtId="0" fontId="9" fillId="0" borderId="21" xfId="0" applyFont="1" applyBorder="1"/>
    <xf numFmtId="1" fontId="9" fillId="0" borderId="0" xfId="0" applyNumberFormat="1" applyFont="1" applyBorder="1"/>
    <xf numFmtId="0" fontId="11" fillId="0" borderId="0" xfId="0" applyFont="1" applyBorder="1"/>
    <xf numFmtId="1" fontId="9" fillId="0" borderId="7" xfId="0" applyNumberFormat="1" applyFont="1" applyBorder="1"/>
    <xf numFmtId="1" fontId="9" fillId="0" borderId="8" xfId="0" applyNumberFormat="1" applyFont="1" applyBorder="1"/>
    <xf numFmtId="1" fontId="9" fillId="0" borderId="0" xfId="0" applyNumberFormat="1" applyFont="1"/>
    <xf numFmtId="1" fontId="9" fillId="0" borderId="5" xfId="0" applyNumberFormat="1" applyFont="1" applyBorder="1"/>
    <xf numFmtId="1" fontId="9" fillId="0" borderId="13" xfId="0" applyNumberFormat="1" applyFont="1" applyBorder="1"/>
    <xf numFmtId="1" fontId="9" fillId="0" borderId="9" xfId="0" applyNumberFormat="1" applyFont="1" applyBorder="1"/>
    <xf numFmtId="9" fontId="12" fillId="0" borderId="7" xfId="0" applyNumberFormat="1" applyFont="1" applyBorder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Stocks</a:t>
            </a:r>
          </a:p>
        </c:rich>
      </c:tx>
      <c:layout>
        <c:manualLayout>
          <c:xMode val="edge"/>
          <c:yMode val="edge"/>
          <c:x val="0.46979166666666666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0.12478920741989882"/>
          <c:w val="0.92291666666666672"/>
          <c:h val="0.75885328836424959"/>
        </c:manualLayout>
      </c:layout>
      <c:barChart>
        <c:barDir val="col"/>
        <c:grouping val="stacked"/>
        <c:ser>
          <c:idx val="0"/>
          <c:order val="0"/>
          <c:tx>
            <c:v>En Cours PF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PFSA!$C$58:$P$58</c:f>
              <c:numCache>
                <c:formatCode>General</c:formatCode>
                <c:ptCount val="14"/>
                <c:pt idx="0">
                  <c:v>0</c:v>
                </c:pt>
                <c:pt idx="1">
                  <c:v>62400</c:v>
                </c:pt>
                <c:pt idx="2">
                  <c:v>81000</c:v>
                </c:pt>
                <c:pt idx="3">
                  <c:v>15600</c:v>
                </c:pt>
                <c:pt idx="4">
                  <c:v>21600</c:v>
                </c:pt>
                <c:pt idx="5">
                  <c:v>106200</c:v>
                </c:pt>
                <c:pt idx="6">
                  <c:v>95400</c:v>
                </c:pt>
                <c:pt idx="7">
                  <c:v>22200</c:v>
                </c:pt>
                <c:pt idx="8">
                  <c:v>15600</c:v>
                </c:pt>
                <c:pt idx="9">
                  <c:v>90600</c:v>
                </c:pt>
                <c:pt idx="10">
                  <c:v>111300</c:v>
                </c:pt>
                <c:pt idx="11">
                  <c:v>15600</c:v>
                </c:pt>
                <c:pt idx="12">
                  <c:v>0</c:v>
                </c:pt>
                <c:pt idx="13">
                  <c:v>118200</c:v>
                </c:pt>
              </c:numCache>
            </c:numRef>
          </c:val>
        </c:ser>
        <c:ser>
          <c:idx val="1"/>
          <c:order val="1"/>
          <c:tx>
            <c:v>Stocks Sous-ensembles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PFSA!$C$61:$P$61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21000</c:v>
                </c:pt>
                <c:pt idx="3">
                  <c:v>70500</c:v>
                </c:pt>
                <c:pt idx="4">
                  <c:v>58500</c:v>
                </c:pt>
                <c:pt idx="5">
                  <c:v>21000</c:v>
                </c:pt>
                <c:pt idx="6">
                  <c:v>27000</c:v>
                </c:pt>
                <c:pt idx="7">
                  <c:v>43500</c:v>
                </c:pt>
                <c:pt idx="8">
                  <c:v>79500</c:v>
                </c:pt>
                <c:pt idx="9">
                  <c:v>27000</c:v>
                </c:pt>
                <c:pt idx="10">
                  <c:v>0</c:v>
                </c:pt>
                <c:pt idx="11">
                  <c:v>58800</c:v>
                </c:pt>
                <c:pt idx="12">
                  <c:v>79200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v>En Cours Sous-ensembles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PFSA!$C$64:$P$64</c:f>
              <c:numCache>
                <c:formatCode>General</c:formatCode>
                <c:ptCount val="14"/>
                <c:pt idx="0">
                  <c:v>72000</c:v>
                </c:pt>
                <c:pt idx="1">
                  <c:v>19800</c:v>
                </c:pt>
                <c:pt idx="2">
                  <c:v>9000</c:v>
                </c:pt>
                <c:pt idx="3">
                  <c:v>9000</c:v>
                </c:pt>
                <c:pt idx="4">
                  <c:v>19800</c:v>
                </c:pt>
                <c:pt idx="5">
                  <c:v>8100</c:v>
                </c:pt>
                <c:pt idx="6">
                  <c:v>2700</c:v>
                </c:pt>
                <c:pt idx="7">
                  <c:v>18900</c:v>
                </c:pt>
                <c:pt idx="8">
                  <c:v>18900</c:v>
                </c:pt>
                <c:pt idx="9">
                  <c:v>2700</c:v>
                </c:pt>
                <c:pt idx="10">
                  <c:v>18900</c:v>
                </c:pt>
                <c:pt idx="11">
                  <c:v>18900</c:v>
                </c:pt>
                <c:pt idx="12">
                  <c:v>18900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v>Pièces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PFSA!$C$68:$P$68</c:f>
              <c:numCache>
                <c:formatCode>General</c:formatCode>
                <c:ptCount val="14"/>
                <c:pt idx="0">
                  <c:v>15000</c:v>
                </c:pt>
                <c:pt idx="1">
                  <c:v>9000</c:v>
                </c:pt>
                <c:pt idx="2">
                  <c:v>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overlap val="100"/>
        <c:axId val="142569472"/>
        <c:axId val="142571008"/>
      </c:barChart>
      <c:catAx>
        <c:axId val="142569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571008"/>
        <c:crosses val="autoZero"/>
        <c:auto val="1"/>
        <c:lblAlgn val="ctr"/>
        <c:lblOffset val="100"/>
        <c:tickLblSkip val="1"/>
        <c:tickMarkSkip val="1"/>
      </c:catAx>
      <c:valAx>
        <c:axId val="14257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56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00000000000002"/>
          <c:y val="0.95446880269814505"/>
          <c:w val="0.50520833333333337"/>
          <c:h val="4.0472175379426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Valeur des stocks</a:t>
            </a:r>
          </a:p>
        </c:rich>
      </c:tx>
      <c:layout>
        <c:manualLayout>
          <c:xMode val="edge"/>
          <c:yMode val="edge"/>
          <c:x val="0.42604166666666665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0.12478920741989882"/>
          <c:w val="0.92291666666666672"/>
          <c:h val="0.806070826306913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PFSA!$C$70:$P$70</c:f>
              <c:numCache>
                <c:formatCode>General</c:formatCode>
                <c:ptCount val="14"/>
                <c:pt idx="0">
                  <c:v>87000</c:v>
                </c:pt>
                <c:pt idx="1">
                  <c:v>91200</c:v>
                </c:pt>
                <c:pt idx="2">
                  <c:v>111600</c:v>
                </c:pt>
                <c:pt idx="3">
                  <c:v>95100</c:v>
                </c:pt>
                <c:pt idx="4">
                  <c:v>99900</c:v>
                </c:pt>
                <c:pt idx="5">
                  <c:v>135300</c:v>
                </c:pt>
                <c:pt idx="6">
                  <c:v>125100</c:v>
                </c:pt>
                <c:pt idx="7">
                  <c:v>84600</c:v>
                </c:pt>
                <c:pt idx="8">
                  <c:v>114000</c:v>
                </c:pt>
                <c:pt idx="9">
                  <c:v>120300</c:v>
                </c:pt>
                <c:pt idx="10">
                  <c:v>130200</c:v>
                </c:pt>
                <c:pt idx="11">
                  <c:v>93300</c:v>
                </c:pt>
                <c:pt idx="12">
                  <c:v>98100</c:v>
                </c:pt>
                <c:pt idx="13">
                  <c:v>118200</c:v>
                </c:pt>
              </c:numCache>
            </c:numRef>
          </c:val>
        </c:ser>
        <c:axId val="142595968"/>
        <c:axId val="142597504"/>
      </c:barChart>
      <c:catAx>
        <c:axId val="142595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597504"/>
        <c:crosses val="autoZero"/>
        <c:auto val="1"/>
        <c:lblAlgn val="ctr"/>
        <c:lblOffset val="100"/>
        <c:tickLblSkip val="1"/>
        <c:tickMarkSkip val="1"/>
      </c:catAx>
      <c:valAx>
        <c:axId val="142597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595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Charge de travail</a:t>
            </a:r>
          </a:p>
        </c:rich>
      </c:tx>
      <c:layout>
        <c:manualLayout>
          <c:xMode val="edge"/>
          <c:yMode val="edge"/>
          <c:x val="0.43020833333333336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91666666666667E-2"/>
          <c:y val="0.12478920741989882"/>
          <c:w val="0.9447916666666667"/>
          <c:h val="0.80607082630691396"/>
        </c:manualLayout>
      </c:layout>
      <c:barChart>
        <c:barDir val="col"/>
        <c:grouping val="clustered"/>
        <c:ser>
          <c:idx val="0"/>
          <c:order val="0"/>
          <c:tx>
            <c:v>Charge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PFSA!$C$79:$P$79</c:f>
              <c:numCache>
                <c:formatCode>General</c:formatCode>
                <c:ptCount val="14"/>
                <c:pt idx="0">
                  <c:v>0</c:v>
                </c:pt>
                <c:pt idx="1">
                  <c:v>140</c:v>
                </c:pt>
                <c:pt idx="2">
                  <c:v>380</c:v>
                </c:pt>
                <c:pt idx="3">
                  <c:v>740</c:v>
                </c:pt>
                <c:pt idx="4">
                  <c:v>560</c:v>
                </c:pt>
                <c:pt idx="5">
                  <c:v>440</c:v>
                </c:pt>
                <c:pt idx="6">
                  <c:v>400</c:v>
                </c:pt>
                <c:pt idx="7">
                  <c:v>560</c:v>
                </c:pt>
                <c:pt idx="8">
                  <c:v>740</c:v>
                </c:pt>
                <c:pt idx="9">
                  <c:v>410</c:v>
                </c:pt>
                <c:pt idx="10">
                  <c:v>250</c:v>
                </c:pt>
                <c:pt idx="11">
                  <c:v>720</c:v>
                </c:pt>
                <c:pt idx="12">
                  <c:v>680</c:v>
                </c:pt>
                <c:pt idx="13">
                  <c:v>270</c:v>
                </c:pt>
              </c:numCache>
            </c:numRef>
          </c:val>
        </c:ser>
        <c:ser>
          <c:idx val="1"/>
          <c:order val="1"/>
          <c:tx>
            <c:v>Capacité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PFSA!$C$80:$P$80</c:f>
              <c:numCache>
                <c:formatCode>General</c:formatCode>
                <c:ptCount val="14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550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</c:numCache>
            </c:numRef>
          </c:val>
        </c:ser>
        <c:axId val="142015872"/>
        <c:axId val="142128256"/>
      </c:barChart>
      <c:catAx>
        <c:axId val="142015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128256"/>
        <c:crosses val="autoZero"/>
        <c:auto val="1"/>
        <c:lblAlgn val="ctr"/>
        <c:lblOffset val="100"/>
        <c:tickLblSkip val="1"/>
        <c:tickMarkSkip val="1"/>
      </c:catAx>
      <c:valAx>
        <c:axId val="142128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015872"/>
        <c:crosses val="autoZero"/>
        <c:crossBetween val="between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8"/>
  <sheetViews>
    <sheetView showGridLines="0" showZeros="0" tabSelected="1" zoomScale="84" workbookViewId="0">
      <selection activeCell="B1" sqref="B1"/>
    </sheetView>
  </sheetViews>
  <sheetFormatPr baseColWidth="10" defaultColWidth="9.140625" defaultRowHeight="15.75"/>
  <cols>
    <col min="1" max="1" width="13.42578125" style="4" customWidth="1"/>
    <col min="2" max="2" width="7.7109375" style="4" customWidth="1"/>
    <col min="3" max="18" width="8.7109375" style="4" customWidth="1"/>
    <col min="19" max="16384" width="9.140625" style="4"/>
  </cols>
  <sheetData>
    <row r="1" spans="1:18" ht="23.25">
      <c r="A1" s="83" t="s">
        <v>0</v>
      </c>
      <c r="B1" s="63"/>
      <c r="C1" s="64"/>
    </row>
    <row r="2" spans="1:18">
      <c r="A2" s="3"/>
      <c r="B2" s="3"/>
      <c r="H2" s="5"/>
      <c r="I2" s="5"/>
    </row>
    <row r="3" spans="1:18">
      <c r="A3" s="4" t="s">
        <v>3</v>
      </c>
      <c r="B3" s="3"/>
      <c r="I3" s="61">
        <v>100</v>
      </c>
    </row>
    <row r="4" spans="1:18">
      <c r="A4" s="4" t="s">
        <v>65</v>
      </c>
      <c r="B4" s="3"/>
    </row>
    <row r="5" spans="1:18">
      <c r="A5" s="3"/>
      <c r="B5" s="3"/>
    </row>
    <row r="6" spans="1:18">
      <c r="A6" s="4" t="s">
        <v>4</v>
      </c>
      <c r="B6" s="3"/>
      <c r="E6" s="61">
        <v>500</v>
      </c>
      <c r="F6" s="4" t="s">
        <v>64</v>
      </c>
    </row>
    <row r="7" spans="1:18">
      <c r="A7" s="4" t="s">
        <v>5</v>
      </c>
      <c r="E7" s="62">
        <v>5.0000000000000001E-3</v>
      </c>
      <c r="F7" s="4" t="s">
        <v>6</v>
      </c>
    </row>
    <row r="8" spans="1:18">
      <c r="C8" s="7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C9" s="8"/>
      <c r="D9" s="9" t="s">
        <v>7</v>
      </c>
      <c r="E9" s="10"/>
      <c r="G9" s="8"/>
      <c r="H9" s="9" t="s">
        <v>8</v>
      </c>
      <c r="I9" s="9"/>
      <c r="J9" s="11"/>
      <c r="K9" s="7"/>
      <c r="L9" s="8"/>
      <c r="M9" s="9"/>
      <c r="N9" s="9" t="s">
        <v>9</v>
      </c>
      <c r="O9" s="9"/>
      <c r="P9" s="11"/>
      <c r="Q9" s="7"/>
      <c r="R9" s="7"/>
    </row>
    <row r="10" spans="1:18">
      <c r="C10" s="12" t="s">
        <v>10</v>
      </c>
      <c r="D10" s="13" t="s">
        <v>11</v>
      </c>
      <c r="E10" s="14" t="s">
        <v>12</v>
      </c>
      <c r="F10" s="7"/>
      <c r="G10" s="15" t="s">
        <v>1</v>
      </c>
      <c r="H10" s="16" t="s">
        <v>2</v>
      </c>
      <c r="I10" s="16" t="s">
        <v>13</v>
      </c>
      <c r="J10" s="17" t="s">
        <v>14</v>
      </c>
      <c r="K10" s="7"/>
      <c r="L10" s="18"/>
      <c r="M10" s="19" t="s">
        <v>13</v>
      </c>
      <c r="N10" s="19" t="s">
        <v>14</v>
      </c>
      <c r="O10" s="19" t="s">
        <v>1</v>
      </c>
      <c r="P10" s="20" t="s">
        <v>2</v>
      </c>
      <c r="Q10" s="7"/>
      <c r="R10" s="7"/>
    </row>
    <row r="11" spans="1:18">
      <c r="C11" s="59">
        <v>45</v>
      </c>
      <c r="D11" s="57">
        <v>15</v>
      </c>
      <c r="E11" s="58">
        <v>30</v>
      </c>
      <c r="F11" s="7"/>
      <c r="G11" s="59">
        <v>4</v>
      </c>
      <c r="H11" s="57">
        <v>4</v>
      </c>
      <c r="I11" s="57">
        <v>6</v>
      </c>
      <c r="J11" s="58">
        <v>4</v>
      </c>
      <c r="K11" s="7"/>
      <c r="L11" s="22" t="s">
        <v>1</v>
      </c>
      <c r="M11" s="55">
        <v>2</v>
      </c>
      <c r="N11" s="55">
        <v>2</v>
      </c>
      <c r="O11" s="55"/>
      <c r="P11" s="56"/>
      <c r="Q11" s="7"/>
      <c r="R11" s="7"/>
    </row>
    <row r="12" spans="1:18">
      <c r="C12" s="7"/>
      <c r="D12" s="7"/>
      <c r="E12" s="7"/>
      <c r="F12" s="7"/>
      <c r="G12" s="7"/>
      <c r="H12" s="7"/>
      <c r="I12" s="7"/>
      <c r="J12" s="7"/>
      <c r="K12" s="7"/>
      <c r="L12" s="22" t="s">
        <v>2</v>
      </c>
      <c r="M12" s="55">
        <v>3</v>
      </c>
      <c r="N12" s="55"/>
      <c r="O12" s="55"/>
      <c r="P12" s="56"/>
      <c r="Q12" s="7"/>
      <c r="R12" s="7"/>
    </row>
    <row r="13" spans="1:18">
      <c r="A13" s="4" t="s">
        <v>15</v>
      </c>
      <c r="C13" s="7"/>
      <c r="D13" s="60">
        <v>30</v>
      </c>
      <c r="E13" s="7" t="s">
        <v>64</v>
      </c>
      <c r="F13" s="7"/>
      <c r="G13" s="7"/>
      <c r="H13" s="7"/>
      <c r="I13" s="7"/>
      <c r="J13" s="7"/>
      <c r="K13" s="7"/>
      <c r="L13" s="22" t="s">
        <v>10</v>
      </c>
      <c r="M13" s="55"/>
      <c r="N13" s="55"/>
      <c r="O13" s="55">
        <v>2</v>
      </c>
      <c r="P13" s="56"/>
      <c r="Q13" s="7"/>
      <c r="R13" s="7"/>
    </row>
    <row r="14" spans="1:18">
      <c r="C14" s="7"/>
      <c r="E14" s="7"/>
      <c r="F14" s="7"/>
      <c r="G14" s="7"/>
      <c r="H14" s="7"/>
      <c r="I14" s="7"/>
      <c r="J14" s="7"/>
      <c r="K14" s="7"/>
      <c r="L14" s="22" t="s">
        <v>11</v>
      </c>
      <c r="M14" s="55"/>
      <c r="N14" s="55"/>
      <c r="O14" s="55"/>
      <c r="P14" s="56">
        <v>2</v>
      </c>
      <c r="Q14" s="7"/>
      <c r="R14" s="7"/>
    </row>
    <row r="15" spans="1:18">
      <c r="C15" s="7"/>
      <c r="E15" s="7"/>
      <c r="F15" s="7"/>
      <c r="G15" s="7"/>
      <c r="H15" s="7"/>
      <c r="I15" s="7"/>
      <c r="J15" s="7"/>
      <c r="K15" s="7"/>
      <c r="L15" s="25" t="s">
        <v>12</v>
      </c>
      <c r="M15" s="57">
        <v>4</v>
      </c>
      <c r="N15" s="57">
        <v>4</v>
      </c>
      <c r="O15" s="57">
        <v>2</v>
      </c>
      <c r="P15" s="58">
        <v>2</v>
      </c>
      <c r="Q15" s="7"/>
      <c r="R15" s="7"/>
    </row>
    <row r="16" spans="1:18">
      <c r="C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A18" s="1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C20" s="26" t="s">
        <v>1</v>
      </c>
      <c r="D20" s="19" t="s">
        <v>2</v>
      </c>
      <c r="E20" s="19" t="s">
        <v>13</v>
      </c>
      <c r="F20" s="20" t="s">
        <v>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27" t="s">
        <v>17</v>
      </c>
      <c r="B21" s="28"/>
      <c r="C21" s="27">
        <f>2*C11+2*E11</f>
        <v>150</v>
      </c>
      <c r="D21" s="28">
        <f>2*D11+2*E11</f>
        <v>90</v>
      </c>
      <c r="E21" s="28">
        <f>2*C23+3*D23+4*E11</f>
        <v>1290</v>
      </c>
      <c r="F21" s="29">
        <f>2*C23+4*E11</f>
        <v>660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A22" s="30" t="s">
        <v>18</v>
      </c>
      <c r="C22" s="30">
        <f>G11*$D$13</f>
        <v>120</v>
      </c>
      <c r="D22" s="4">
        <f>H11*$D$13</f>
        <v>120</v>
      </c>
      <c r="E22" s="4">
        <f>I11*$D$13</f>
        <v>180</v>
      </c>
      <c r="F22" s="31">
        <f>J11*$D$13</f>
        <v>120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A23" s="8" t="s">
        <v>19</v>
      </c>
      <c r="B23" s="32"/>
      <c r="C23" s="18">
        <f>C21+C22</f>
        <v>270</v>
      </c>
      <c r="D23" s="33">
        <f>D21+D22</f>
        <v>210</v>
      </c>
      <c r="E23" s="33">
        <f>E21+E22</f>
        <v>1470</v>
      </c>
      <c r="F23" s="34">
        <f>F21+F22</f>
        <v>780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3"/>
      <c r="C24" s="13"/>
      <c r="D24" s="6"/>
      <c r="E24" s="13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" t="s">
        <v>20</v>
      </c>
      <c r="C25" s="2" t="s">
        <v>21</v>
      </c>
      <c r="D25" s="6"/>
      <c r="E25" s="13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>
      <c r="C26" s="1" t="s">
        <v>22</v>
      </c>
      <c r="D26" s="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>
      <c r="A27" s="35" t="s">
        <v>23</v>
      </c>
      <c r="B27" s="36"/>
      <c r="C27" s="37">
        <v>1</v>
      </c>
      <c r="D27" s="38">
        <v>2</v>
      </c>
      <c r="E27" s="38">
        <v>3</v>
      </c>
      <c r="F27" s="38">
        <v>4</v>
      </c>
      <c r="G27" s="38">
        <v>5</v>
      </c>
      <c r="H27" s="38">
        <v>6</v>
      </c>
      <c r="I27" s="38">
        <v>7</v>
      </c>
      <c r="J27" s="38">
        <v>8</v>
      </c>
      <c r="K27" s="38">
        <v>9</v>
      </c>
      <c r="L27" s="38">
        <v>10</v>
      </c>
      <c r="M27" s="38">
        <v>11</v>
      </c>
      <c r="N27" s="38">
        <v>12</v>
      </c>
      <c r="O27" s="38">
        <v>13</v>
      </c>
      <c r="P27" s="38">
        <v>14</v>
      </c>
      <c r="Q27" s="38">
        <v>15</v>
      </c>
      <c r="R27" s="39">
        <v>16</v>
      </c>
    </row>
    <row r="28" spans="1:18">
      <c r="A28" s="30" t="s">
        <v>24</v>
      </c>
      <c r="C28" s="40"/>
      <c r="D28" s="40"/>
      <c r="E28" s="40"/>
      <c r="F28" s="40">
        <v>40</v>
      </c>
      <c r="G28" s="40"/>
      <c r="H28" s="40"/>
      <c r="I28" s="40"/>
      <c r="J28" s="40">
        <v>60</v>
      </c>
      <c r="K28" s="40"/>
      <c r="L28" s="40"/>
      <c r="M28" s="40"/>
      <c r="N28" s="40">
        <v>50</v>
      </c>
      <c r="O28" s="40"/>
      <c r="P28" s="40"/>
      <c r="Q28" s="40"/>
      <c r="R28" s="40">
        <v>70</v>
      </c>
    </row>
    <row r="29" spans="1:18" ht="16.5" thickBot="1">
      <c r="A29" s="30" t="s">
        <v>25</v>
      </c>
      <c r="C29" s="65"/>
      <c r="D29" s="65"/>
      <c r="E29" s="65"/>
      <c r="F29" s="65">
        <v>10</v>
      </c>
      <c r="G29" s="65">
        <v>20</v>
      </c>
      <c r="H29" s="65"/>
      <c r="I29" s="65">
        <v>30</v>
      </c>
      <c r="J29" s="65"/>
      <c r="K29" s="65">
        <v>10</v>
      </c>
      <c r="L29" s="65">
        <v>20</v>
      </c>
      <c r="M29" s="65"/>
      <c r="N29" s="65">
        <v>30</v>
      </c>
      <c r="O29" s="65">
        <v>20</v>
      </c>
      <c r="P29" s="65"/>
      <c r="Q29" s="65"/>
      <c r="R29" s="65">
        <v>30</v>
      </c>
    </row>
    <row r="30" spans="1:18" ht="16.5" thickTop="1">
      <c r="A30" s="66" t="s">
        <v>26</v>
      </c>
      <c r="B30" s="67"/>
      <c r="C30" s="68">
        <f t="shared" ref="C30:P31" si="0">E28</f>
        <v>0</v>
      </c>
      <c r="D30" s="67">
        <f t="shared" si="0"/>
        <v>40</v>
      </c>
      <c r="E30" s="67">
        <f t="shared" si="0"/>
        <v>0</v>
      </c>
      <c r="F30" s="67">
        <f t="shared" si="0"/>
        <v>0</v>
      </c>
      <c r="G30" s="67">
        <f t="shared" si="0"/>
        <v>0</v>
      </c>
      <c r="H30" s="67">
        <f t="shared" si="0"/>
        <v>60</v>
      </c>
      <c r="I30" s="67">
        <f t="shared" si="0"/>
        <v>0</v>
      </c>
      <c r="J30" s="67">
        <f t="shared" si="0"/>
        <v>0</v>
      </c>
      <c r="K30" s="67">
        <f t="shared" si="0"/>
        <v>0</v>
      </c>
      <c r="L30" s="67">
        <f t="shared" si="0"/>
        <v>50</v>
      </c>
      <c r="M30" s="67">
        <f t="shared" si="0"/>
        <v>0</v>
      </c>
      <c r="N30" s="67">
        <f t="shared" si="0"/>
        <v>0</v>
      </c>
      <c r="O30" s="67">
        <f t="shared" si="0"/>
        <v>0</v>
      </c>
      <c r="P30" s="67">
        <f t="shared" si="0"/>
        <v>70</v>
      </c>
      <c r="Q30" s="67"/>
      <c r="R30" s="69"/>
    </row>
    <row r="31" spans="1:18" ht="16.5" thickBot="1">
      <c r="A31" s="70" t="s">
        <v>27</v>
      </c>
      <c r="B31" s="71"/>
      <c r="C31" s="72">
        <f t="shared" si="0"/>
        <v>0</v>
      </c>
      <c r="D31" s="71">
        <f t="shared" si="0"/>
        <v>10</v>
      </c>
      <c r="E31" s="71">
        <f t="shared" si="0"/>
        <v>20</v>
      </c>
      <c r="F31" s="71">
        <f t="shared" si="0"/>
        <v>0</v>
      </c>
      <c r="G31" s="71">
        <f t="shared" si="0"/>
        <v>30</v>
      </c>
      <c r="H31" s="71">
        <f t="shared" si="0"/>
        <v>0</v>
      </c>
      <c r="I31" s="71">
        <f t="shared" si="0"/>
        <v>10</v>
      </c>
      <c r="J31" s="71">
        <f t="shared" si="0"/>
        <v>20</v>
      </c>
      <c r="K31" s="71">
        <f t="shared" si="0"/>
        <v>0</v>
      </c>
      <c r="L31" s="71">
        <f t="shared" si="0"/>
        <v>30</v>
      </c>
      <c r="M31" s="71">
        <f t="shared" si="0"/>
        <v>20</v>
      </c>
      <c r="N31" s="71">
        <f t="shared" si="0"/>
        <v>0</v>
      </c>
      <c r="O31" s="71">
        <f t="shared" si="0"/>
        <v>0</v>
      </c>
      <c r="P31" s="71">
        <f t="shared" si="0"/>
        <v>30</v>
      </c>
      <c r="Q31" s="71"/>
      <c r="R31" s="73"/>
    </row>
    <row r="32" spans="1:18" ht="16.5" thickTop="1">
      <c r="A32" s="68" t="s">
        <v>28</v>
      </c>
      <c r="B32" s="67"/>
      <c r="C32" s="68">
        <f t="shared" ref="C32:P32" si="1">C30*2+C31*2</f>
        <v>0</v>
      </c>
      <c r="D32" s="67">
        <f t="shared" si="1"/>
        <v>100</v>
      </c>
      <c r="E32" s="67">
        <f t="shared" si="1"/>
        <v>40</v>
      </c>
      <c r="F32" s="67">
        <f t="shared" si="1"/>
        <v>0</v>
      </c>
      <c r="G32" s="67">
        <f t="shared" si="1"/>
        <v>60</v>
      </c>
      <c r="H32" s="67">
        <f t="shared" si="1"/>
        <v>120</v>
      </c>
      <c r="I32" s="67">
        <f t="shared" si="1"/>
        <v>20</v>
      </c>
      <c r="J32" s="67">
        <f t="shared" si="1"/>
        <v>40</v>
      </c>
      <c r="K32" s="67">
        <f t="shared" si="1"/>
        <v>0</v>
      </c>
      <c r="L32" s="67">
        <f t="shared" si="1"/>
        <v>160</v>
      </c>
      <c r="M32" s="67">
        <f t="shared" si="1"/>
        <v>40</v>
      </c>
      <c r="N32" s="67">
        <f t="shared" si="1"/>
        <v>0</v>
      </c>
      <c r="O32" s="67">
        <f t="shared" si="1"/>
        <v>0</v>
      </c>
      <c r="P32" s="67">
        <f t="shared" si="1"/>
        <v>200</v>
      </c>
      <c r="Q32" s="67"/>
      <c r="R32" s="69"/>
    </row>
    <row r="33" spans="1:18">
      <c r="A33" s="30" t="s">
        <v>29</v>
      </c>
      <c r="B33" s="42"/>
      <c r="C33" s="30">
        <f t="shared" ref="C33:P33" si="2">IF(C32&gt;B34,C32-B34,0)</f>
        <v>0</v>
      </c>
      <c r="D33" s="42">
        <f t="shared" si="2"/>
        <v>0</v>
      </c>
      <c r="E33" s="42">
        <f t="shared" si="2"/>
        <v>0</v>
      </c>
      <c r="F33" s="42">
        <f t="shared" si="2"/>
        <v>0</v>
      </c>
      <c r="G33" s="42">
        <f t="shared" si="2"/>
        <v>50</v>
      </c>
      <c r="H33" s="42">
        <f t="shared" si="2"/>
        <v>70</v>
      </c>
      <c r="I33" s="42">
        <f t="shared" si="2"/>
        <v>0</v>
      </c>
      <c r="J33" s="42">
        <f t="shared" si="2"/>
        <v>30</v>
      </c>
      <c r="K33" s="42">
        <f t="shared" si="2"/>
        <v>0</v>
      </c>
      <c r="L33" s="42">
        <f t="shared" si="2"/>
        <v>90</v>
      </c>
      <c r="M33" s="42">
        <f t="shared" si="2"/>
        <v>30</v>
      </c>
      <c r="N33" s="42">
        <f t="shared" si="2"/>
        <v>0</v>
      </c>
      <c r="O33" s="42">
        <f t="shared" si="2"/>
        <v>0</v>
      </c>
      <c r="P33" s="42">
        <f t="shared" si="2"/>
        <v>130</v>
      </c>
      <c r="Q33" s="42"/>
      <c r="R33" s="31"/>
    </row>
    <row r="34" spans="1:18">
      <c r="A34" s="30" t="s">
        <v>30</v>
      </c>
      <c r="B34" s="50">
        <v>150</v>
      </c>
      <c r="C34" s="30">
        <f>IF(C32&lt;B34,B34-C32,0)</f>
        <v>150</v>
      </c>
      <c r="D34" s="42">
        <f>IF(D32&lt;C34,C34-D32,0)</f>
        <v>50</v>
      </c>
      <c r="E34" s="42">
        <f t="shared" ref="E34:P34" si="3">D34-E32+C35</f>
        <v>10</v>
      </c>
      <c r="F34" s="42">
        <f t="shared" si="3"/>
        <v>10</v>
      </c>
      <c r="G34" s="42">
        <f t="shared" si="3"/>
        <v>50</v>
      </c>
      <c r="H34" s="42">
        <f t="shared" si="3"/>
        <v>30</v>
      </c>
      <c r="I34" s="42">
        <f t="shared" si="3"/>
        <v>10</v>
      </c>
      <c r="J34" s="42">
        <f t="shared" si="3"/>
        <v>70</v>
      </c>
      <c r="K34" s="42">
        <f t="shared" si="3"/>
        <v>70</v>
      </c>
      <c r="L34" s="42">
        <f t="shared" si="3"/>
        <v>10</v>
      </c>
      <c r="M34" s="42">
        <f t="shared" si="3"/>
        <v>70</v>
      </c>
      <c r="N34" s="42">
        <f t="shared" si="3"/>
        <v>70</v>
      </c>
      <c r="O34" s="42">
        <f t="shared" si="3"/>
        <v>70</v>
      </c>
      <c r="P34" s="42">
        <f t="shared" si="3"/>
        <v>0</v>
      </c>
      <c r="Q34" s="42"/>
      <c r="R34" s="31"/>
    </row>
    <row r="35" spans="1:18" ht="16.5" thickBot="1">
      <c r="A35" s="70" t="s">
        <v>31</v>
      </c>
      <c r="B35" s="73"/>
      <c r="C35" s="71">
        <f t="shared" ref="C35:R35" si="4">IF(E33&gt;=$I$3,E33,IF(E33&gt;0,$I$3,0))</f>
        <v>0</v>
      </c>
      <c r="D35" s="71">
        <f t="shared" si="4"/>
        <v>0</v>
      </c>
      <c r="E35" s="71">
        <f t="shared" si="4"/>
        <v>100</v>
      </c>
      <c r="F35" s="71">
        <f t="shared" si="4"/>
        <v>100</v>
      </c>
      <c r="G35" s="71">
        <f t="shared" si="4"/>
        <v>0</v>
      </c>
      <c r="H35" s="71">
        <f t="shared" si="4"/>
        <v>100</v>
      </c>
      <c r="I35" s="71">
        <f t="shared" si="4"/>
        <v>0</v>
      </c>
      <c r="J35" s="71">
        <f t="shared" si="4"/>
        <v>100</v>
      </c>
      <c r="K35" s="71">
        <f t="shared" si="4"/>
        <v>100</v>
      </c>
      <c r="L35" s="71">
        <f t="shared" si="4"/>
        <v>0</v>
      </c>
      <c r="M35" s="71">
        <f t="shared" si="4"/>
        <v>0</v>
      </c>
      <c r="N35" s="71">
        <f t="shared" si="4"/>
        <v>130</v>
      </c>
      <c r="O35" s="71">
        <f t="shared" si="4"/>
        <v>0</v>
      </c>
      <c r="P35" s="71">
        <f t="shared" si="4"/>
        <v>0</v>
      </c>
      <c r="Q35" s="71">
        <f t="shared" si="4"/>
        <v>0</v>
      </c>
      <c r="R35" s="73">
        <f t="shared" si="4"/>
        <v>0</v>
      </c>
    </row>
    <row r="36" spans="1:18" ht="16.5" thickTop="1">
      <c r="A36" s="68" t="s">
        <v>32</v>
      </c>
      <c r="B36" s="67"/>
      <c r="C36" s="68">
        <f t="shared" ref="C36:P36" si="5">C30*3</f>
        <v>0</v>
      </c>
      <c r="D36" s="67">
        <f t="shared" si="5"/>
        <v>120</v>
      </c>
      <c r="E36" s="67">
        <f t="shared" si="5"/>
        <v>0</v>
      </c>
      <c r="F36" s="67">
        <f t="shared" si="5"/>
        <v>0</v>
      </c>
      <c r="G36" s="67">
        <f t="shared" si="5"/>
        <v>0</v>
      </c>
      <c r="H36" s="67">
        <f t="shared" si="5"/>
        <v>180</v>
      </c>
      <c r="I36" s="67">
        <f t="shared" si="5"/>
        <v>0</v>
      </c>
      <c r="J36" s="67">
        <f t="shared" si="5"/>
        <v>0</v>
      </c>
      <c r="K36" s="67">
        <f t="shared" si="5"/>
        <v>0</v>
      </c>
      <c r="L36" s="67">
        <f t="shared" si="5"/>
        <v>150</v>
      </c>
      <c r="M36" s="67">
        <f t="shared" si="5"/>
        <v>0</v>
      </c>
      <c r="N36" s="67">
        <f t="shared" si="5"/>
        <v>0</v>
      </c>
      <c r="O36" s="67">
        <f t="shared" si="5"/>
        <v>0</v>
      </c>
      <c r="P36" s="67">
        <f t="shared" si="5"/>
        <v>210</v>
      </c>
      <c r="Q36" s="67"/>
      <c r="R36" s="69"/>
    </row>
    <row r="37" spans="1:18">
      <c r="A37" s="30" t="s">
        <v>29</v>
      </c>
      <c r="B37" s="42"/>
      <c r="C37" s="30">
        <f t="shared" ref="C37:P37" si="6">IF(C36&gt;B38,C36-B38,0)</f>
        <v>0</v>
      </c>
      <c r="D37" s="42">
        <f t="shared" si="6"/>
        <v>0</v>
      </c>
      <c r="E37" s="42">
        <f t="shared" si="6"/>
        <v>0</v>
      </c>
      <c r="F37" s="42">
        <f t="shared" si="6"/>
        <v>0</v>
      </c>
      <c r="G37" s="42">
        <f t="shared" si="6"/>
        <v>0</v>
      </c>
      <c r="H37" s="42">
        <f t="shared" si="6"/>
        <v>150</v>
      </c>
      <c r="I37" s="42">
        <f t="shared" si="6"/>
        <v>0</v>
      </c>
      <c r="J37" s="42">
        <f t="shared" si="6"/>
        <v>0</v>
      </c>
      <c r="K37" s="42">
        <f t="shared" si="6"/>
        <v>0</v>
      </c>
      <c r="L37" s="42">
        <f t="shared" si="6"/>
        <v>150</v>
      </c>
      <c r="M37" s="42">
        <f t="shared" si="6"/>
        <v>0</v>
      </c>
      <c r="N37" s="42">
        <f t="shared" si="6"/>
        <v>0</v>
      </c>
      <c r="O37" s="42">
        <f t="shared" si="6"/>
        <v>0</v>
      </c>
      <c r="P37" s="42">
        <f t="shared" si="6"/>
        <v>210</v>
      </c>
      <c r="Q37" s="42"/>
      <c r="R37" s="31"/>
    </row>
    <row r="38" spans="1:18">
      <c r="A38" s="30" t="s">
        <v>33</v>
      </c>
      <c r="B38" s="50">
        <v>150</v>
      </c>
      <c r="C38" s="30">
        <f>IF(C36&lt;B38,B38-C36,0)</f>
        <v>150</v>
      </c>
      <c r="D38" s="42">
        <f>IF(D36&lt;C38,C38-D36,0)</f>
        <v>30</v>
      </c>
      <c r="E38" s="42">
        <f t="shared" ref="E38:P38" si="7">D38-E36+C39</f>
        <v>30</v>
      </c>
      <c r="F38" s="42">
        <f t="shared" si="7"/>
        <v>30</v>
      </c>
      <c r="G38" s="42">
        <f t="shared" si="7"/>
        <v>30</v>
      </c>
      <c r="H38" s="42">
        <f t="shared" si="7"/>
        <v>0</v>
      </c>
      <c r="I38" s="42">
        <f t="shared" si="7"/>
        <v>0</v>
      </c>
      <c r="J38" s="42">
        <f t="shared" si="7"/>
        <v>0</v>
      </c>
      <c r="K38" s="42">
        <f t="shared" si="7"/>
        <v>0</v>
      </c>
      <c r="L38" s="42">
        <f t="shared" si="7"/>
        <v>0</v>
      </c>
      <c r="M38" s="42">
        <f t="shared" si="7"/>
        <v>0</v>
      </c>
      <c r="N38" s="42">
        <f t="shared" si="7"/>
        <v>0</v>
      </c>
      <c r="O38" s="42">
        <f t="shared" si="7"/>
        <v>0</v>
      </c>
      <c r="P38" s="42">
        <f t="shared" si="7"/>
        <v>0</v>
      </c>
      <c r="Q38" s="42"/>
      <c r="R38" s="31"/>
    </row>
    <row r="39" spans="1:18" ht="16.5" thickBot="1">
      <c r="A39" s="70" t="s">
        <v>34</v>
      </c>
      <c r="B39" s="73"/>
      <c r="C39" s="71">
        <f>IF(E37&gt;=$I$3,E37,IF(E37&gt;0,$I$3,0))</f>
        <v>0</v>
      </c>
      <c r="D39" s="71">
        <f t="shared" ref="D39:P39" si="8">IF(F37&gt;=$I$3,F37,IF(F37&gt;0,$I$3,0))</f>
        <v>0</v>
      </c>
      <c r="E39" s="71">
        <f t="shared" si="8"/>
        <v>0</v>
      </c>
      <c r="F39" s="71">
        <f t="shared" si="8"/>
        <v>150</v>
      </c>
      <c r="G39" s="71">
        <f t="shared" si="8"/>
        <v>0</v>
      </c>
      <c r="H39" s="71">
        <f t="shared" si="8"/>
        <v>0</v>
      </c>
      <c r="I39" s="71">
        <f t="shared" si="8"/>
        <v>0</v>
      </c>
      <c r="J39" s="71">
        <f t="shared" si="8"/>
        <v>150</v>
      </c>
      <c r="K39" s="71">
        <f t="shared" si="8"/>
        <v>0</v>
      </c>
      <c r="L39" s="71">
        <f t="shared" si="8"/>
        <v>0</v>
      </c>
      <c r="M39" s="71">
        <f t="shared" si="8"/>
        <v>0</v>
      </c>
      <c r="N39" s="71">
        <f t="shared" si="8"/>
        <v>210</v>
      </c>
      <c r="O39" s="71">
        <f t="shared" si="8"/>
        <v>0</v>
      </c>
      <c r="P39" s="71">
        <f t="shared" si="8"/>
        <v>0</v>
      </c>
      <c r="Q39" s="71">
        <f>IF(S37&gt;=$I$3,S37,IF(S37&gt;0,$I$3,0))</f>
        <v>0</v>
      </c>
      <c r="R39" s="73">
        <f>IF(T37&gt;=$I$3,T37,IF(T37&gt;0,$I$3,0))</f>
        <v>0</v>
      </c>
    </row>
    <row r="40" spans="1:18" ht="16.5" thickTop="1">
      <c r="A40" s="68" t="s">
        <v>35</v>
      </c>
      <c r="B40" s="67"/>
      <c r="C40" s="68">
        <f t="shared" ref="C40:P40" si="9">C35*2</f>
        <v>0</v>
      </c>
      <c r="D40" s="67">
        <f t="shared" si="9"/>
        <v>0</v>
      </c>
      <c r="E40" s="67">
        <f t="shared" si="9"/>
        <v>200</v>
      </c>
      <c r="F40" s="67">
        <f t="shared" si="9"/>
        <v>200</v>
      </c>
      <c r="G40" s="67">
        <f t="shared" si="9"/>
        <v>0</v>
      </c>
      <c r="H40" s="67">
        <f t="shared" si="9"/>
        <v>200</v>
      </c>
      <c r="I40" s="67">
        <f t="shared" si="9"/>
        <v>0</v>
      </c>
      <c r="J40" s="67">
        <f t="shared" si="9"/>
        <v>200</v>
      </c>
      <c r="K40" s="67">
        <f t="shared" si="9"/>
        <v>200</v>
      </c>
      <c r="L40" s="67">
        <f t="shared" si="9"/>
        <v>0</v>
      </c>
      <c r="M40" s="67">
        <f t="shared" si="9"/>
        <v>0</v>
      </c>
      <c r="N40" s="67">
        <f t="shared" si="9"/>
        <v>260</v>
      </c>
      <c r="O40" s="67">
        <f t="shared" si="9"/>
        <v>0</v>
      </c>
      <c r="P40" s="67">
        <f t="shared" si="9"/>
        <v>0</v>
      </c>
      <c r="Q40" s="67"/>
      <c r="R40" s="69"/>
    </row>
    <row r="41" spans="1:18">
      <c r="A41" s="30" t="s">
        <v>29</v>
      </c>
      <c r="B41" s="42"/>
      <c r="C41" s="30">
        <f t="shared" ref="C41:P41" si="10">IF(C40&gt;B42,C40-B42,0)</f>
        <v>0</v>
      </c>
      <c r="D41" s="42">
        <f t="shared" si="10"/>
        <v>0</v>
      </c>
      <c r="E41" s="42">
        <f t="shared" si="10"/>
        <v>200</v>
      </c>
      <c r="F41" s="42">
        <f t="shared" si="10"/>
        <v>200</v>
      </c>
      <c r="G41" s="42">
        <f t="shared" si="10"/>
        <v>0</v>
      </c>
      <c r="H41" s="42">
        <f t="shared" si="10"/>
        <v>200</v>
      </c>
      <c r="I41" s="42">
        <f t="shared" si="10"/>
        <v>0</v>
      </c>
      <c r="J41" s="42">
        <f t="shared" si="10"/>
        <v>200</v>
      </c>
      <c r="K41" s="42">
        <f t="shared" si="10"/>
        <v>200</v>
      </c>
      <c r="L41" s="42">
        <f t="shared" si="10"/>
        <v>0</v>
      </c>
      <c r="M41" s="42">
        <f t="shared" si="10"/>
        <v>0</v>
      </c>
      <c r="N41" s="42">
        <f t="shared" si="10"/>
        <v>260</v>
      </c>
      <c r="O41" s="42">
        <f t="shared" si="10"/>
        <v>0</v>
      </c>
      <c r="P41" s="42">
        <f t="shared" si="10"/>
        <v>0</v>
      </c>
      <c r="Q41" s="42"/>
      <c r="R41" s="31"/>
    </row>
    <row r="42" spans="1:18">
      <c r="A42" s="30" t="s">
        <v>33</v>
      </c>
      <c r="B42" s="50">
        <v>0</v>
      </c>
      <c r="C42" s="30">
        <f>IF(C40&lt;B42,B42-C40,0)</f>
        <v>0</v>
      </c>
      <c r="D42" s="42">
        <f>IF(D40&lt;C42,C42-D40,0)</f>
        <v>0</v>
      </c>
      <c r="E42" s="42">
        <f t="shared" ref="E42:P42" si="11">D42-E40+C43</f>
        <v>0</v>
      </c>
      <c r="F42" s="42">
        <f t="shared" si="11"/>
        <v>0</v>
      </c>
      <c r="G42" s="42">
        <f t="shared" si="11"/>
        <v>0</v>
      </c>
      <c r="H42" s="42">
        <f t="shared" si="11"/>
        <v>0</v>
      </c>
      <c r="I42" s="42">
        <f t="shared" si="11"/>
        <v>0</v>
      </c>
      <c r="J42" s="42">
        <f t="shared" si="11"/>
        <v>0</v>
      </c>
      <c r="K42" s="42">
        <f t="shared" si="11"/>
        <v>0</v>
      </c>
      <c r="L42" s="42">
        <f t="shared" si="11"/>
        <v>0</v>
      </c>
      <c r="M42" s="42">
        <f t="shared" si="11"/>
        <v>0</v>
      </c>
      <c r="N42" s="42">
        <f t="shared" si="11"/>
        <v>0</v>
      </c>
      <c r="O42" s="42">
        <f t="shared" si="11"/>
        <v>0</v>
      </c>
      <c r="P42" s="42">
        <f t="shared" si="11"/>
        <v>0</v>
      </c>
      <c r="Q42" s="42"/>
      <c r="R42" s="31"/>
    </row>
    <row r="43" spans="1:18" ht="16.5" thickBot="1">
      <c r="A43" s="70" t="s">
        <v>36</v>
      </c>
      <c r="B43" s="71"/>
      <c r="C43" s="72">
        <f t="shared" ref="C43:P43" si="12">E41</f>
        <v>200</v>
      </c>
      <c r="D43" s="71">
        <f t="shared" si="12"/>
        <v>200</v>
      </c>
      <c r="E43" s="71">
        <f t="shared" si="12"/>
        <v>0</v>
      </c>
      <c r="F43" s="71">
        <f t="shared" si="12"/>
        <v>200</v>
      </c>
      <c r="G43" s="71">
        <f t="shared" si="12"/>
        <v>0</v>
      </c>
      <c r="H43" s="71">
        <f t="shared" si="12"/>
        <v>200</v>
      </c>
      <c r="I43" s="71">
        <f t="shared" si="12"/>
        <v>200</v>
      </c>
      <c r="J43" s="71">
        <f t="shared" si="12"/>
        <v>0</v>
      </c>
      <c r="K43" s="71">
        <f t="shared" si="12"/>
        <v>0</v>
      </c>
      <c r="L43" s="71">
        <f t="shared" si="12"/>
        <v>260</v>
      </c>
      <c r="M43" s="71">
        <f t="shared" si="12"/>
        <v>0</v>
      </c>
      <c r="N43" s="71">
        <f t="shared" si="12"/>
        <v>0</v>
      </c>
      <c r="O43" s="71">
        <f t="shared" si="12"/>
        <v>0</v>
      </c>
      <c r="P43" s="71">
        <f t="shared" si="12"/>
        <v>0</v>
      </c>
      <c r="Q43" s="71"/>
      <c r="R43" s="73"/>
    </row>
    <row r="44" spans="1:18" ht="16.5" thickTop="1">
      <c r="A44" s="68" t="s">
        <v>37</v>
      </c>
      <c r="B44" s="67"/>
      <c r="C44" s="68">
        <f t="shared" ref="C44:P44" si="13">C39*2</f>
        <v>0</v>
      </c>
      <c r="D44" s="67">
        <f t="shared" si="13"/>
        <v>0</v>
      </c>
      <c r="E44" s="67">
        <f t="shared" si="13"/>
        <v>0</v>
      </c>
      <c r="F44" s="67">
        <f t="shared" si="13"/>
        <v>300</v>
      </c>
      <c r="G44" s="67">
        <f t="shared" si="13"/>
        <v>0</v>
      </c>
      <c r="H44" s="67">
        <f t="shared" si="13"/>
        <v>0</v>
      </c>
      <c r="I44" s="67">
        <f t="shared" si="13"/>
        <v>0</v>
      </c>
      <c r="J44" s="67">
        <f t="shared" si="13"/>
        <v>300</v>
      </c>
      <c r="K44" s="67">
        <f t="shared" si="13"/>
        <v>0</v>
      </c>
      <c r="L44" s="67">
        <f t="shared" si="13"/>
        <v>0</v>
      </c>
      <c r="M44" s="67">
        <f t="shared" si="13"/>
        <v>0</v>
      </c>
      <c r="N44" s="67">
        <f t="shared" si="13"/>
        <v>420</v>
      </c>
      <c r="O44" s="67">
        <f t="shared" si="13"/>
        <v>0</v>
      </c>
      <c r="P44" s="67">
        <f t="shared" si="13"/>
        <v>0</v>
      </c>
      <c r="Q44" s="67"/>
      <c r="R44" s="69"/>
    </row>
    <row r="45" spans="1:18">
      <c r="A45" s="30" t="s">
        <v>29</v>
      </c>
      <c r="B45" s="42"/>
      <c r="C45" s="30">
        <f t="shared" ref="C45:P45" si="14">IF(C44&gt;B46,C44-B46,0)</f>
        <v>0</v>
      </c>
      <c r="D45" s="42">
        <f t="shared" si="14"/>
        <v>0</v>
      </c>
      <c r="E45" s="42">
        <f t="shared" si="14"/>
        <v>0</v>
      </c>
      <c r="F45" s="42">
        <f t="shared" si="14"/>
        <v>300</v>
      </c>
      <c r="G45" s="42">
        <f t="shared" si="14"/>
        <v>0</v>
      </c>
      <c r="H45" s="42">
        <f t="shared" si="14"/>
        <v>0</v>
      </c>
      <c r="I45" s="42">
        <f t="shared" si="14"/>
        <v>0</v>
      </c>
      <c r="J45" s="42">
        <f t="shared" si="14"/>
        <v>300</v>
      </c>
      <c r="K45" s="42">
        <f t="shared" si="14"/>
        <v>0</v>
      </c>
      <c r="L45" s="42">
        <f t="shared" si="14"/>
        <v>0</v>
      </c>
      <c r="M45" s="42">
        <f t="shared" si="14"/>
        <v>0</v>
      </c>
      <c r="N45" s="42">
        <f t="shared" si="14"/>
        <v>420</v>
      </c>
      <c r="O45" s="42">
        <f t="shared" si="14"/>
        <v>0</v>
      </c>
      <c r="P45" s="42">
        <f t="shared" si="14"/>
        <v>0</v>
      </c>
      <c r="Q45" s="42"/>
      <c r="R45" s="31"/>
    </row>
    <row r="46" spans="1:18">
      <c r="A46" s="30" t="s">
        <v>33</v>
      </c>
      <c r="B46" s="42"/>
      <c r="C46" s="30">
        <f>IF(C44&lt;B46,B46-C44,0)</f>
        <v>0</v>
      </c>
      <c r="D46" s="42">
        <f>IF(D44&lt;C46,C46-D44,0)</f>
        <v>0</v>
      </c>
      <c r="E46" s="42">
        <f t="shared" ref="E46:P46" si="15">D46-E44+C47</f>
        <v>0</v>
      </c>
      <c r="F46" s="42">
        <f t="shared" si="15"/>
        <v>0</v>
      </c>
      <c r="G46" s="42">
        <f t="shared" si="15"/>
        <v>0</v>
      </c>
      <c r="H46" s="42">
        <f t="shared" si="15"/>
        <v>0</v>
      </c>
      <c r="I46" s="42">
        <f t="shared" si="15"/>
        <v>0</v>
      </c>
      <c r="J46" s="42">
        <f t="shared" si="15"/>
        <v>0</v>
      </c>
      <c r="K46" s="42">
        <f t="shared" si="15"/>
        <v>0</v>
      </c>
      <c r="L46" s="42">
        <f t="shared" si="15"/>
        <v>0</v>
      </c>
      <c r="M46" s="42">
        <f t="shared" si="15"/>
        <v>0</v>
      </c>
      <c r="N46" s="42">
        <f t="shared" si="15"/>
        <v>0</v>
      </c>
      <c r="O46" s="42">
        <f t="shared" si="15"/>
        <v>0</v>
      </c>
      <c r="P46" s="42">
        <f t="shared" si="15"/>
        <v>0</v>
      </c>
      <c r="Q46" s="42">
        <f>P46-Q44+P47</f>
        <v>0</v>
      </c>
      <c r="R46" s="31">
        <f>Q46-R44+Q47</f>
        <v>0</v>
      </c>
    </row>
    <row r="47" spans="1:18" ht="16.5" thickBot="1">
      <c r="A47" s="70" t="s">
        <v>38</v>
      </c>
      <c r="B47" s="73"/>
      <c r="C47" s="72">
        <f t="shared" ref="C47:P47" si="16">E45</f>
        <v>0</v>
      </c>
      <c r="D47" s="71">
        <f t="shared" si="16"/>
        <v>300</v>
      </c>
      <c r="E47" s="71">
        <f t="shared" si="16"/>
        <v>0</v>
      </c>
      <c r="F47" s="71">
        <f t="shared" si="16"/>
        <v>0</v>
      </c>
      <c r="G47" s="71">
        <f t="shared" si="16"/>
        <v>0</v>
      </c>
      <c r="H47" s="71">
        <f t="shared" si="16"/>
        <v>300</v>
      </c>
      <c r="I47" s="71">
        <f t="shared" si="16"/>
        <v>0</v>
      </c>
      <c r="J47" s="71">
        <f t="shared" si="16"/>
        <v>0</v>
      </c>
      <c r="K47" s="71">
        <f t="shared" si="16"/>
        <v>0</v>
      </c>
      <c r="L47" s="71">
        <f t="shared" si="16"/>
        <v>420</v>
      </c>
      <c r="M47" s="71">
        <f t="shared" si="16"/>
        <v>0</v>
      </c>
      <c r="N47" s="71">
        <f t="shared" si="16"/>
        <v>0</v>
      </c>
      <c r="O47" s="71">
        <f t="shared" si="16"/>
        <v>0</v>
      </c>
      <c r="P47" s="71">
        <f t="shared" si="16"/>
        <v>0</v>
      </c>
      <c r="Q47" s="71"/>
      <c r="R47" s="73"/>
    </row>
    <row r="48" spans="1:18" ht="16.5" thickTop="1">
      <c r="A48" s="68" t="s">
        <v>39</v>
      </c>
      <c r="B48" s="67"/>
      <c r="C48" s="68">
        <f t="shared" ref="C48:P48" si="17">C30*4+C31*4+C35*2+C39*2</f>
        <v>0</v>
      </c>
      <c r="D48" s="67">
        <f t="shared" si="17"/>
        <v>200</v>
      </c>
      <c r="E48" s="67">
        <f t="shared" si="17"/>
        <v>280</v>
      </c>
      <c r="F48" s="67">
        <f t="shared" si="17"/>
        <v>500</v>
      </c>
      <c r="G48" s="67">
        <f t="shared" si="17"/>
        <v>120</v>
      </c>
      <c r="H48" s="67">
        <f t="shared" si="17"/>
        <v>440</v>
      </c>
      <c r="I48" s="67">
        <f t="shared" si="17"/>
        <v>40</v>
      </c>
      <c r="J48" s="67">
        <f t="shared" si="17"/>
        <v>580</v>
      </c>
      <c r="K48" s="67">
        <f t="shared" si="17"/>
        <v>200</v>
      </c>
      <c r="L48" s="67">
        <f t="shared" si="17"/>
        <v>320</v>
      </c>
      <c r="M48" s="67">
        <f t="shared" si="17"/>
        <v>80</v>
      </c>
      <c r="N48" s="67">
        <f t="shared" si="17"/>
        <v>680</v>
      </c>
      <c r="O48" s="67">
        <f t="shared" si="17"/>
        <v>0</v>
      </c>
      <c r="P48" s="67">
        <f t="shared" si="17"/>
        <v>400</v>
      </c>
      <c r="Q48" s="67"/>
      <c r="R48" s="69"/>
    </row>
    <row r="49" spans="1:18">
      <c r="A49" s="30" t="s">
        <v>29</v>
      </c>
      <c r="B49" s="42"/>
      <c r="C49" s="30">
        <f t="shared" ref="C49:P49" si="18">IF(C48&gt;B50,C48-B50,0)</f>
        <v>0</v>
      </c>
      <c r="D49" s="42">
        <f t="shared" si="18"/>
        <v>0</v>
      </c>
      <c r="E49" s="42">
        <f t="shared" si="18"/>
        <v>0</v>
      </c>
      <c r="F49" s="42">
        <f t="shared" si="18"/>
        <v>480</v>
      </c>
      <c r="G49" s="42">
        <f t="shared" si="18"/>
        <v>120</v>
      </c>
      <c r="H49" s="42">
        <f t="shared" si="18"/>
        <v>440</v>
      </c>
      <c r="I49" s="42">
        <f t="shared" si="18"/>
        <v>40</v>
      </c>
      <c r="J49" s="42">
        <f t="shared" si="18"/>
        <v>580</v>
      </c>
      <c r="K49" s="42">
        <f t="shared" si="18"/>
        <v>200</v>
      </c>
      <c r="L49" s="42">
        <f t="shared" si="18"/>
        <v>320</v>
      </c>
      <c r="M49" s="42">
        <f t="shared" si="18"/>
        <v>80</v>
      </c>
      <c r="N49" s="42">
        <f t="shared" si="18"/>
        <v>680</v>
      </c>
      <c r="O49" s="42">
        <f t="shared" si="18"/>
        <v>0</v>
      </c>
      <c r="P49" s="42">
        <f t="shared" si="18"/>
        <v>400</v>
      </c>
      <c r="Q49" s="42"/>
      <c r="R49" s="31"/>
    </row>
    <row r="50" spans="1:18">
      <c r="A50" s="30" t="s">
        <v>33</v>
      </c>
      <c r="B50" s="50">
        <v>500</v>
      </c>
      <c r="C50" s="30">
        <f>IF(C48&lt;B50,B50-C48,0)</f>
        <v>500</v>
      </c>
      <c r="D50" s="42">
        <f>IF(D48&lt;C50,C50-D48,0)</f>
        <v>300</v>
      </c>
      <c r="E50" s="42">
        <f t="shared" ref="E50:P50" si="19">D50-E48+C51</f>
        <v>20</v>
      </c>
      <c r="F50" s="42">
        <f t="shared" si="19"/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 t="shared" si="19"/>
        <v>0</v>
      </c>
      <c r="Q50" s="42"/>
      <c r="R50" s="31"/>
    </row>
    <row r="51" spans="1:18" ht="16.5" thickBot="1">
      <c r="A51" s="70" t="s">
        <v>40</v>
      </c>
      <c r="B51" s="71"/>
      <c r="C51" s="72">
        <f t="shared" ref="C51:P51" si="20">E49</f>
        <v>0</v>
      </c>
      <c r="D51" s="71">
        <f t="shared" si="20"/>
        <v>480</v>
      </c>
      <c r="E51" s="71">
        <f t="shared" si="20"/>
        <v>120</v>
      </c>
      <c r="F51" s="71">
        <f t="shared" si="20"/>
        <v>440</v>
      </c>
      <c r="G51" s="71">
        <f t="shared" si="20"/>
        <v>40</v>
      </c>
      <c r="H51" s="71">
        <f t="shared" si="20"/>
        <v>580</v>
      </c>
      <c r="I51" s="71">
        <f t="shared" si="20"/>
        <v>200</v>
      </c>
      <c r="J51" s="71">
        <f t="shared" si="20"/>
        <v>320</v>
      </c>
      <c r="K51" s="71">
        <f t="shared" si="20"/>
        <v>80</v>
      </c>
      <c r="L51" s="71">
        <f t="shared" si="20"/>
        <v>680</v>
      </c>
      <c r="M51" s="71">
        <f t="shared" si="20"/>
        <v>0</v>
      </c>
      <c r="N51" s="71">
        <f t="shared" si="20"/>
        <v>400</v>
      </c>
      <c r="O51" s="71">
        <f t="shared" si="20"/>
        <v>0</v>
      </c>
      <c r="P51" s="71">
        <f t="shared" si="20"/>
        <v>0</v>
      </c>
      <c r="Q51" s="71"/>
      <c r="R51" s="73"/>
    </row>
    <row r="52" spans="1:18" ht="16.5" thickTop="1"/>
    <row r="53" spans="1:18">
      <c r="A53" s="1" t="s">
        <v>41</v>
      </c>
    </row>
    <row r="54" spans="1:18">
      <c r="A54" s="1"/>
    </row>
    <row r="55" spans="1:18">
      <c r="A55" s="35" t="s">
        <v>23</v>
      </c>
      <c r="B55" s="36"/>
      <c r="C55" s="37">
        <v>1</v>
      </c>
      <c r="D55" s="38">
        <v>2</v>
      </c>
      <c r="E55" s="38">
        <v>3</v>
      </c>
      <c r="F55" s="38">
        <v>4</v>
      </c>
      <c r="G55" s="38">
        <v>5</v>
      </c>
      <c r="H55" s="38">
        <v>6</v>
      </c>
      <c r="I55" s="38">
        <v>7</v>
      </c>
      <c r="J55" s="38">
        <v>8</v>
      </c>
      <c r="K55" s="38">
        <v>9</v>
      </c>
      <c r="L55" s="38">
        <v>10</v>
      </c>
      <c r="M55" s="38">
        <v>11</v>
      </c>
      <c r="N55" s="38">
        <v>12</v>
      </c>
      <c r="O55" s="38">
        <v>13</v>
      </c>
      <c r="P55" s="39">
        <v>14</v>
      </c>
    </row>
    <row r="56" spans="1:18">
      <c r="A56" s="27" t="s">
        <v>13</v>
      </c>
      <c r="B56" s="29"/>
      <c r="C56" s="46">
        <f>C30*($E$21+$E$22/2)</f>
        <v>0</v>
      </c>
      <c r="D56" s="46">
        <f>C30*($E$21+$E$22)+D30*($E$21+$E$22/2)</f>
        <v>55200</v>
      </c>
      <c r="E56" s="46">
        <f t="shared" ref="E56:P56" si="21">D30*($E$21+$E$22)+E30*($E$21+$E$22/2)</f>
        <v>58800</v>
      </c>
      <c r="F56" s="46">
        <f t="shared" si="21"/>
        <v>0</v>
      </c>
      <c r="G56" s="46">
        <f t="shared" si="21"/>
        <v>0</v>
      </c>
      <c r="H56" s="46">
        <f t="shared" si="21"/>
        <v>82800</v>
      </c>
      <c r="I56" s="46">
        <f t="shared" si="21"/>
        <v>88200</v>
      </c>
      <c r="J56" s="46">
        <f t="shared" si="21"/>
        <v>0</v>
      </c>
      <c r="K56" s="46">
        <f t="shared" si="21"/>
        <v>0</v>
      </c>
      <c r="L56" s="46">
        <f t="shared" si="21"/>
        <v>69000</v>
      </c>
      <c r="M56" s="46">
        <f t="shared" si="21"/>
        <v>73500</v>
      </c>
      <c r="N56" s="46">
        <f t="shared" si="21"/>
        <v>0</v>
      </c>
      <c r="O56" s="46">
        <f t="shared" si="21"/>
        <v>0</v>
      </c>
      <c r="P56" s="47">
        <f t="shared" si="21"/>
        <v>96600</v>
      </c>
    </row>
    <row r="57" spans="1:18">
      <c r="A57" s="30" t="s">
        <v>14</v>
      </c>
      <c r="B57" s="31"/>
      <c r="C57" s="23">
        <f>C31*($F$21+$F$22/2)</f>
        <v>0</v>
      </c>
      <c r="D57" s="23">
        <f>C31*($F$21+$F$22)+D31*($F$21+$F$22/2)</f>
        <v>7200</v>
      </c>
      <c r="E57" s="23">
        <f t="shared" ref="E57:P57" si="22">D31*($F$21+$F$22)+E31*($F$21+$F$22/2)</f>
        <v>22200</v>
      </c>
      <c r="F57" s="23">
        <f t="shared" si="22"/>
        <v>15600</v>
      </c>
      <c r="G57" s="23">
        <f t="shared" si="22"/>
        <v>21600</v>
      </c>
      <c r="H57" s="23">
        <f t="shared" si="22"/>
        <v>23400</v>
      </c>
      <c r="I57" s="23">
        <f t="shared" si="22"/>
        <v>7200</v>
      </c>
      <c r="J57" s="23">
        <f t="shared" si="22"/>
        <v>22200</v>
      </c>
      <c r="K57" s="23">
        <f t="shared" si="22"/>
        <v>15600</v>
      </c>
      <c r="L57" s="23">
        <f t="shared" si="22"/>
        <v>21600</v>
      </c>
      <c r="M57" s="23">
        <f t="shared" si="22"/>
        <v>37800</v>
      </c>
      <c r="N57" s="23">
        <f t="shared" si="22"/>
        <v>15600</v>
      </c>
      <c r="O57" s="23">
        <f t="shared" si="22"/>
        <v>0</v>
      </c>
      <c r="P57" s="21">
        <f t="shared" si="22"/>
        <v>21600</v>
      </c>
    </row>
    <row r="58" spans="1:18">
      <c r="A58" s="48" t="s">
        <v>42</v>
      </c>
      <c r="B58" s="29"/>
      <c r="C58" s="46">
        <f t="shared" ref="C58:P58" si="23">SUM(C56:C57)</f>
        <v>0</v>
      </c>
      <c r="D58" s="46">
        <f t="shared" si="23"/>
        <v>62400</v>
      </c>
      <c r="E58" s="46">
        <f t="shared" si="23"/>
        <v>81000</v>
      </c>
      <c r="F58" s="46">
        <f t="shared" si="23"/>
        <v>15600</v>
      </c>
      <c r="G58" s="46">
        <f t="shared" si="23"/>
        <v>21600</v>
      </c>
      <c r="H58" s="46">
        <f t="shared" si="23"/>
        <v>106200</v>
      </c>
      <c r="I58" s="46">
        <f t="shared" si="23"/>
        <v>95400</v>
      </c>
      <c r="J58" s="46">
        <f t="shared" si="23"/>
        <v>22200</v>
      </c>
      <c r="K58" s="46">
        <f t="shared" si="23"/>
        <v>15600</v>
      </c>
      <c r="L58" s="46">
        <f t="shared" si="23"/>
        <v>90600</v>
      </c>
      <c r="M58" s="46">
        <f t="shared" si="23"/>
        <v>111300</v>
      </c>
      <c r="N58" s="46">
        <f t="shared" si="23"/>
        <v>15600</v>
      </c>
      <c r="O58" s="46">
        <f t="shared" si="23"/>
        <v>0</v>
      </c>
      <c r="P58" s="47">
        <f t="shared" si="23"/>
        <v>118200</v>
      </c>
    </row>
    <row r="59" spans="1:18">
      <c r="A59" s="27" t="s">
        <v>1</v>
      </c>
      <c r="B59" s="29"/>
      <c r="C59" s="46">
        <f>C35*($C$21+$C$22/2)</f>
        <v>0</v>
      </c>
      <c r="D59" s="46">
        <f>C35*($C$21+$C$22)+D35*($C$21+$C$22/2)</f>
        <v>0</v>
      </c>
      <c r="E59" s="46">
        <f t="shared" ref="E59:P59" si="24">D35*($C$21+$C$22)+E35*($C$21+$C$22/2)</f>
        <v>21000</v>
      </c>
      <c r="F59" s="46">
        <f t="shared" si="24"/>
        <v>48000</v>
      </c>
      <c r="G59" s="46">
        <f t="shared" si="24"/>
        <v>27000</v>
      </c>
      <c r="H59" s="46">
        <f t="shared" si="24"/>
        <v>21000</v>
      </c>
      <c r="I59" s="46">
        <f t="shared" si="24"/>
        <v>27000</v>
      </c>
      <c r="J59" s="46">
        <f t="shared" si="24"/>
        <v>21000</v>
      </c>
      <c r="K59" s="46">
        <f t="shared" si="24"/>
        <v>48000</v>
      </c>
      <c r="L59" s="46">
        <f t="shared" si="24"/>
        <v>27000</v>
      </c>
      <c r="M59" s="46">
        <f t="shared" si="24"/>
        <v>0</v>
      </c>
      <c r="N59" s="46">
        <f t="shared" si="24"/>
        <v>27300</v>
      </c>
      <c r="O59" s="46">
        <f t="shared" si="24"/>
        <v>35100</v>
      </c>
      <c r="P59" s="47">
        <f t="shared" si="24"/>
        <v>0</v>
      </c>
    </row>
    <row r="60" spans="1:18">
      <c r="A60" s="30" t="s">
        <v>2</v>
      </c>
      <c r="B60" s="31"/>
      <c r="C60" s="23">
        <f>C39*($D$21+$D$22/2)</f>
        <v>0</v>
      </c>
      <c r="D60" s="23">
        <f>C39*($D$21+$D$22)+D39*($D$21+$D$22/2)</f>
        <v>0</v>
      </c>
      <c r="E60" s="23">
        <f t="shared" ref="E60:P60" si="25">D39*($D$21+$D$22)+E39*($D$21+$D$22/2)</f>
        <v>0</v>
      </c>
      <c r="F60" s="23">
        <f t="shared" si="25"/>
        <v>22500</v>
      </c>
      <c r="G60" s="23">
        <f t="shared" si="25"/>
        <v>31500</v>
      </c>
      <c r="H60" s="23">
        <f t="shared" si="25"/>
        <v>0</v>
      </c>
      <c r="I60" s="23">
        <f t="shared" si="25"/>
        <v>0</v>
      </c>
      <c r="J60" s="23">
        <f t="shared" si="25"/>
        <v>22500</v>
      </c>
      <c r="K60" s="23">
        <f t="shared" si="25"/>
        <v>31500</v>
      </c>
      <c r="L60" s="23">
        <f t="shared" si="25"/>
        <v>0</v>
      </c>
      <c r="M60" s="23">
        <f t="shared" si="25"/>
        <v>0</v>
      </c>
      <c r="N60" s="23">
        <f t="shared" si="25"/>
        <v>31500</v>
      </c>
      <c r="O60" s="23">
        <f t="shared" si="25"/>
        <v>44100</v>
      </c>
      <c r="P60" s="24">
        <f t="shared" si="25"/>
        <v>0</v>
      </c>
    </row>
    <row r="61" spans="1:18">
      <c r="A61" s="48" t="s">
        <v>43</v>
      </c>
      <c r="B61" s="29"/>
      <c r="C61" s="46">
        <f t="shared" ref="C61:P61" si="26">C59+C60</f>
        <v>0</v>
      </c>
      <c r="D61" s="46">
        <f t="shared" si="26"/>
        <v>0</v>
      </c>
      <c r="E61" s="46">
        <f t="shared" si="26"/>
        <v>21000</v>
      </c>
      <c r="F61" s="46">
        <f t="shared" si="26"/>
        <v>70500</v>
      </c>
      <c r="G61" s="46">
        <f t="shared" si="26"/>
        <v>58500</v>
      </c>
      <c r="H61" s="46">
        <f t="shared" si="26"/>
        <v>21000</v>
      </c>
      <c r="I61" s="46">
        <f t="shared" si="26"/>
        <v>27000</v>
      </c>
      <c r="J61" s="46">
        <f t="shared" si="26"/>
        <v>43500</v>
      </c>
      <c r="K61" s="46">
        <f t="shared" si="26"/>
        <v>79500</v>
      </c>
      <c r="L61" s="46">
        <f t="shared" si="26"/>
        <v>27000</v>
      </c>
      <c r="M61" s="46">
        <f t="shared" si="26"/>
        <v>0</v>
      </c>
      <c r="N61" s="46">
        <f t="shared" si="26"/>
        <v>58800</v>
      </c>
      <c r="O61" s="46">
        <f t="shared" si="26"/>
        <v>79200</v>
      </c>
      <c r="P61" s="47">
        <f t="shared" si="26"/>
        <v>0</v>
      </c>
    </row>
    <row r="62" spans="1:18">
      <c r="A62" s="27" t="s">
        <v>1</v>
      </c>
      <c r="B62" s="29">
        <f t="shared" ref="B62:P62" si="27">B34*$C$23</f>
        <v>40500</v>
      </c>
      <c r="C62" s="28">
        <f t="shared" si="27"/>
        <v>40500</v>
      </c>
      <c r="D62" s="28">
        <f t="shared" si="27"/>
        <v>13500</v>
      </c>
      <c r="E62" s="28">
        <f t="shared" si="27"/>
        <v>2700</v>
      </c>
      <c r="F62" s="28">
        <f t="shared" si="27"/>
        <v>2700</v>
      </c>
      <c r="G62" s="28">
        <f t="shared" si="27"/>
        <v>13500</v>
      </c>
      <c r="H62" s="28">
        <f t="shared" si="27"/>
        <v>8100</v>
      </c>
      <c r="I62" s="28">
        <f t="shared" si="27"/>
        <v>2700</v>
      </c>
      <c r="J62" s="28">
        <f t="shared" si="27"/>
        <v>18900</v>
      </c>
      <c r="K62" s="28">
        <f t="shared" si="27"/>
        <v>18900</v>
      </c>
      <c r="L62" s="28">
        <f t="shared" si="27"/>
        <v>2700</v>
      </c>
      <c r="M62" s="28">
        <f t="shared" si="27"/>
        <v>18900</v>
      </c>
      <c r="N62" s="28">
        <f t="shared" si="27"/>
        <v>18900</v>
      </c>
      <c r="O62" s="28">
        <f t="shared" si="27"/>
        <v>18900</v>
      </c>
      <c r="P62" s="29">
        <f t="shared" si="27"/>
        <v>0</v>
      </c>
    </row>
    <row r="63" spans="1:18">
      <c r="A63" s="30" t="s">
        <v>2</v>
      </c>
      <c r="B63" s="31">
        <f t="shared" ref="B63:P63" si="28">B38*$D$23</f>
        <v>31500</v>
      </c>
      <c r="C63" s="4">
        <f t="shared" si="28"/>
        <v>31500</v>
      </c>
      <c r="D63" s="4">
        <f t="shared" si="28"/>
        <v>6300</v>
      </c>
      <c r="E63" s="4">
        <f t="shared" si="28"/>
        <v>6300</v>
      </c>
      <c r="F63" s="4">
        <f t="shared" si="28"/>
        <v>6300</v>
      </c>
      <c r="G63" s="4">
        <f t="shared" si="28"/>
        <v>6300</v>
      </c>
      <c r="H63" s="4">
        <f t="shared" si="28"/>
        <v>0</v>
      </c>
      <c r="I63" s="4">
        <f t="shared" si="28"/>
        <v>0</v>
      </c>
      <c r="J63" s="4">
        <f t="shared" si="28"/>
        <v>0</v>
      </c>
      <c r="K63" s="4">
        <f t="shared" si="28"/>
        <v>0</v>
      </c>
      <c r="L63" s="4">
        <f t="shared" si="28"/>
        <v>0</v>
      </c>
      <c r="M63" s="4">
        <f t="shared" si="28"/>
        <v>0</v>
      </c>
      <c r="N63" s="4">
        <f t="shared" si="28"/>
        <v>0</v>
      </c>
      <c r="O63" s="4">
        <f t="shared" si="28"/>
        <v>0</v>
      </c>
      <c r="P63" s="31">
        <f t="shared" si="28"/>
        <v>0</v>
      </c>
    </row>
    <row r="64" spans="1:18">
      <c r="A64" s="18" t="s">
        <v>44</v>
      </c>
      <c r="B64" s="49">
        <f t="shared" ref="B64:P64" si="29">B62+B63</f>
        <v>72000</v>
      </c>
      <c r="C64" s="32">
        <f t="shared" si="29"/>
        <v>72000</v>
      </c>
      <c r="D64" s="32">
        <f t="shared" si="29"/>
        <v>19800</v>
      </c>
      <c r="E64" s="32">
        <f t="shared" si="29"/>
        <v>9000</v>
      </c>
      <c r="F64" s="32">
        <f t="shared" si="29"/>
        <v>9000</v>
      </c>
      <c r="G64" s="32">
        <f t="shared" si="29"/>
        <v>19800</v>
      </c>
      <c r="H64" s="32">
        <f t="shared" si="29"/>
        <v>8100</v>
      </c>
      <c r="I64" s="32">
        <f t="shared" si="29"/>
        <v>2700</v>
      </c>
      <c r="J64" s="32">
        <f t="shared" si="29"/>
        <v>18900</v>
      </c>
      <c r="K64" s="32">
        <f t="shared" si="29"/>
        <v>18900</v>
      </c>
      <c r="L64" s="32">
        <f t="shared" si="29"/>
        <v>2700</v>
      </c>
      <c r="M64" s="32">
        <f t="shared" si="29"/>
        <v>18900</v>
      </c>
      <c r="N64" s="32">
        <f t="shared" si="29"/>
        <v>18900</v>
      </c>
      <c r="O64" s="32">
        <f t="shared" si="29"/>
        <v>18900</v>
      </c>
      <c r="P64" s="49">
        <f t="shared" si="29"/>
        <v>0</v>
      </c>
    </row>
    <row r="65" spans="1:18">
      <c r="A65" s="30" t="s">
        <v>10</v>
      </c>
      <c r="B65" s="31">
        <f t="shared" ref="B65:P65" si="30">B42*$C$11</f>
        <v>0</v>
      </c>
      <c r="C65" s="4">
        <f t="shared" si="30"/>
        <v>0</v>
      </c>
      <c r="D65" s="4">
        <f t="shared" si="30"/>
        <v>0</v>
      </c>
      <c r="E65" s="4">
        <f t="shared" si="30"/>
        <v>0</v>
      </c>
      <c r="F65" s="4">
        <f t="shared" si="30"/>
        <v>0</v>
      </c>
      <c r="G65" s="4">
        <f t="shared" si="30"/>
        <v>0</v>
      </c>
      <c r="H65" s="4">
        <f t="shared" si="30"/>
        <v>0</v>
      </c>
      <c r="I65" s="4">
        <f t="shared" si="30"/>
        <v>0</v>
      </c>
      <c r="J65" s="4">
        <f t="shared" si="30"/>
        <v>0</v>
      </c>
      <c r="K65" s="4">
        <f t="shared" si="30"/>
        <v>0</v>
      </c>
      <c r="L65" s="4">
        <f t="shared" si="30"/>
        <v>0</v>
      </c>
      <c r="M65" s="4">
        <f t="shared" si="30"/>
        <v>0</v>
      </c>
      <c r="N65" s="4">
        <f t="shared" si="30"/>
        <v>0</v>
      </c>
      <c r="O65" s="4">
        <f t="shared" si="30"/>
        <v>0</v>
      </c>
      <c r="P65" s="31">
        <f t="shared" si="30"/>
        <v>0</v>
      </c>
    </row>
    <row r="66" spans="1:18">
      <c r="A66" s="30" t="s">
        <v>11</v>
      </c>
      <c r="B66" s="31">
        <f t="shared" ref="B66:P66" si="31">B46*$D$11</f>
        <v>0</v>
      </c>
      <c r="C66" s="4">
        <f t="shared" si="31"/>
        <v>0</v>
      </c>
      <c r="D66" s="4">
        <f t="shared" si="31"/>
        <v>0</v>
      </c>
      <c r="E66" s="4">
        <f t="shared" si="31"/>
        <v>0</v>
      </c>
      <c r="F66" s="4">
        <f t="shared" si="31"/>
        <v>0</v>
      </c>
      <c r="G66" s="4">
        <f t="shared" si="31"/>
        <v>0</v>
      </c>
      <c r="H66" s="4">
        <f t="shared" si="31"/>
        <v>0</v>
      </c>
      <c r="I66" s="4">
        <f t="shared" si="31"/>
        <v>0</v>
      </c>
      <c r="J66" s="4">
        <f t="shared" si="31"/>
        <v>0</v>
      </c>
      <c r="K66" s="4">
        <f t="shared" si="31"/>
        <v>0</v>
      </c>
      <c r="L66" s="4">
        <f t="shared" si="31"/>
        <v>0</v>
      </c>
      <c r="M66" s="4">
        <f t="shared" si="31"/>
        <v>0</v>
      </c>
      <c r="N66" s="4">
        <f t="shared" si="31"/>
        <v>0</v>
      </c>
      <c r="O66" s="4">
        <f t="shared" si="31"/>
        <v>0</v>
      </c>
      <c r="P66" s="31">
        <f t="shared" si="31"/>
        <v>0</v>
      </c>
    </row>
    <row r="67" spans="1:18">
      <c r="A67" s="30" t="s">
        <v>12</v>
      </c>
      <c r="B67" s="31">
        <f t="shared" ref="B67:P67" si="32">B50*$E$11</f>
        <v>15000</v>
      </c>
      <c r="C67" s="4">
        <f t="shared" si="32"/>
        <v>15000</v>
      </c>
      <c r="D67" s="4">
        <f t="shared" si="32"/>
        <v>9000</v>
      </c>
      <c r="E67" s="4">
        <f t="shared" si="32"/>
        <v>600</v>
      </c>
      <c r="F67" s="4">
        <f t="shared" si="32"/>
        <v>0</v>
      </c>
      <c r="G67" s="4">
        <f t="shared" si="32"/>
        <v>0</v>
      </c>
      <c r="H67" s="4">
        <f t="shared" si="32"/>
        <v>0</v>
      </c>
      <c r="I67" s="4">
        <f t="shared" si="32"/>
        <v>0</v>
      </c>
      <c r="J67" s="4">
        <f t="shared" si="32"/>
        <v>0</v>
      </c>
      <c r="K67" s="4">
        <f t="shared" si="32"/>
        <v>0</v>
      </c>
      <c r="L67" s="4">
        <f t="shared" si="32"/>
        <v>0</v>
      </c>
      <c r="M67" s="4">
        <f t="shared" si="32"/>
        <v>0</v>
      </c>
      <c r="N67" s="4">
        <f t="shared" si="32"/>
        <v>0</v>
      </c>
      <c r="O67" s="4">
        <f t="shared" si="32"/>
        <v>0</v>
      </c>
      <c r="P67" s="31">
        <f t="shared" si="32"/>
        <v>0</v>
      </c>
    </row>
    <row r="68" spans="1:18">
      <c r="A68" s="18" t="s">
        <v>45</v>
      </c>
      <c r="B68" s="49">
        <f t="shared" ref="B68:P68" si="33">B65+B66+B67</f>
        <v>15000</v>
      </c>
      <c r="C68" s="32">
        <f t="shared" si="33"/>
        <v>15000</v>
      </c>
      <c r="D68" s="32">
        <f t="shared" si="33"/>
        <v>9000</v>
      </c>
      <c r="E68" s="32">
        <f t="shared" si="33"/>
        <v>600</v>
      </c>
      <c r="F68" s="32">
        <f t="shared" si="33"/>
        <v>0</v>
      </c>
      <c r="G68" s="32">
        <f t="shared" si="33"/>
        <v>0</v>
      </c>
      <c r="H68" s="32">
        <f t="shared" si="33"/>
        <v>0</v>
      </c>
      <c r="I68" s="32">
        <f t="shared" si="33"/>
        <v>0</v>
      </c>
      <c r="J68" s="32">
        <f t="shared" si="33"/>
        <v>0</v>
      </c>
      <c r="K68" s="32">
        <f t="shared" si="33"/>
        <v>0</v>
      </c>
      <c r="L68" s="32">
        <f t="shared" si="33"/>
        <v>0</v>
      </c>
      <c r="M68" s="32">
        <f t="shared" si="33"/>
        <v>0</v>
      </c>
      <c r="N68" s="32">
        <f t="shared" si="33"/>
        <v>0</v>
      </c>
      <c r="O68" s="32">
        <f t="shared" si="33"/>
        <v>0</v>
      </c>
      <c r="P68" s="49">
        <f t="shared" si="33"/>
        <v>0</v>
      </c>
    </row>
    <row r="69" spans="1:18">
      <c r="A69" s="41"/>
      <c r="B69" s="31"/>
      <c r="P69" s="31"/>
    </row>
    <row r="70" spans="1:18">
      <c r="A70" s="18" t="s">
        <v>46</v>
      </c>
      <c r="B70" s="49">
        <f>B64+B68</f>
        <v>87000</v>
      </c>
      <c r="C70" s="32">
        <f t="shared" ref="C70:P70" si="34">C58+C61+C64+C68</f>
        <v>87000</v>
      </c>
      <c r="D70" s="32">
        <f t="shared" si="34"/>
        <v>91200</v>
      </c>
      <c r="E70" s="32">
        <f t="shared" si="34"/>
        <v>111600</v>
      </c>
      <c r="F70" s="32">
        <f t="shared" si="34"/>
        <v>95100</v>
      </c>
      <c r="G70" s="32">
        <f t="shared" si="34"/>
        <v>99900</v>
      </c>
      <c r="H70" s="32">
        <f t="shared" si="34"/>
        <v>135300</v>
      </c>
      <c r="I70" s="32">
        <f t="shared" si="34"/>
        <v>125100</v>
      </c>
      <c r="J70" s="32">
        <f t="shared" si="34"/>
        <v>84600</v>
      </c>
      <c r="K70" s="32">
        <f t="shared" si="34"/>
        <v>114000</v>
      </c>
      <c r="L70" s="32">
        <f t="shared" si="34"/>
        <v>120300</v>
      </c>
      <c r="M70" s="32">
        <f t="shared" si="34"/>
        <v>130200</v>
      </c>
      <c r="N70" s="32">
        <f t="shared" si="34"/>
        <v>93300</v>
      </c>
      <c r="O70" s="32">
        <f t="shared" si="34"/>
        <v>98100</v>
      </c>
      <c r="P70" s="49">
        <f t="shared" si="34"/>
        <v>118200</v>
      </c>
    </row>
    <row r="72" spans="1:18">
      <c r="A72" s="1" t="s">
        <v>47</v>
      </c>
    </row>
    <row r="73" spans="1:18">
      <c r="A73" s="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>
      <c r="A74" s="35" t="s">
        <v>23</v>
      </c>
      <c r="B74" s="36"/>
      <c r="C74" s="37">
        <v>1</v>
      </c>
      <c r="D74" s="38">
        <v>2</v>
      </c>
      <c r="E74" s="38">
        <v>3</v>
      </c>
      <c r="F74" s="38">
        <v>4</v>
      </c>
      <c r="G74" s="38">
        <v>5</v>
      </c>
      <c r="H74" s="38">
        <v>6</v>
      </c>
      <c r="I74" s="38">
        <v>7</v>
      </c>
      <c r="J74" s="38">
        <v>8</v>
      </c>
      <c r="K74" s="38">
        <v>9</v>
      </c>
      <c r="L74" s="38">
        <v>10</v>
      </c>
      <c r="M74" s="38">
        <v>11</v>
      </c>
      <c r="N74" s="38">
        <v>12</v>
      </c>
      <c r="O74" s="38">
        <v>13</v>
      </c>
      <c r="P74" s="39">
        <v>14</v>
      </c>
    </row>
    <row r="75" spans="1:18">
      <c r="A75" s="27" t="s">
        <v>1</v>
      </c>
      <c r="B75" s="29"/>
      <c r="C75" s="28">
        <f>C35*$G$11/2</f>
        <v>0</v>
      </c>
      <c r="D75" s="28">
        <f t="shared" ref="D75:P75" si="35">(C35+D35)*$G$11/2</f>
        <v>0</v>
      </c>
      <c r="E75" s="28">
        <f t="shared" si="35"/>
        <v>200</v>
      </c>
      <c r="F75" s="28">
        <f t="shared" si="35"/>
        <v>400</v>
      </c>
      <c r="G75" s="28">
        <f t="shared" si="35"/>
        <v>200</v>
      </c>
      <c r="H75" s="28">
        <f t="shared" si="35"/>
        <v>200</v>
      </c>
      <c r="I75" s="28">
        <f t="shared" si="35"/>
        <v>200</v>
      </c>
      <c r="J75" s="28">
        <f t="shared" si="35"/>
        <v>200</v>
      </c>
      <c r="K75" s="28">
        <f t="shared" si="35"/>
        <v>400</v>
      </c>
      <c r="L75" s="28">
        <f t="shared" si="35"/>
        <v>200</v>
      </c>
      <c r="M75" s="28">
        <f t="shared" si="35"/>
        <v>0</v>
      </c>
      <c r="N75" s="28">
        <f t="shared" si="35"/>
        <v>260</v>
      </c>
      <c r="O75" s="28">
        <f t="shared" si="35"/>
        <v>260</v>
      </c>
      <c r="P75" s="29">
        <f t="shared" si="35"/>
        <v>0</v>
      </c>
    </row>
    <row r="76" spans="1:18">
      <c r="A76" s="30" t="s">
        <v>2</v>
      </c>
      <c r="B76" s="31"/>
      <c r="C76" s="4">
        <f>C39*$H$11/2</f>
        <v>0</v>
      </c>
      <c r="D76" s="4">
        <f t="shared" ref="D76:P76" si="36">(C39+D39)*$H$11/2</f>
        <v>0</v>
      </c>
      <c r="E76" s="4">
        <f t="shared" si="36"/>
        <v>0</v>
      </c>
      <c r="F76" s="4">
        <f t="shared" si="36"/>
        <v>300</v>
      </c>
      <c r="G76" s="4">
        <f t="shared" si="36"/>
        <v>300</v>
      </c>
      <c r="H76" s="4">
        <f t="shared" si="36"/>
        <v>0</v>
      </c>
      <c r="I76" s="4">
        <f t="shared" si="36"/>
        <v>0</v>
      </c>
      <c r="J76" s="4">
        <f t="shared" si="36"/>
        <v>300</v>
      </c>
      <c r="K76" s="4">
        <f t="shared" si="36"/>
        <v>300</v>
      </c>
      <c r="L76" s="4">
        <f t="shared" si="36"/>
        <v>0</v>
      </c>
      <c r="M76" s="4">
        <f t="shared" si="36"/>
        <v>0</v>
      </c>
      <c r="N76" s="4">
        <f t="shared" si="36"/>
        <v>420</v>
      </c>
      <c r="O76" s="4">
        <f t="shared" si="36"/>
        <v>420</v>
      </c>
      <c r="P76" s="31">
        <f t="shared" si="36"/>
        <v>0</v>
      </c>
    </row>
    <row r="77" spans="1:18">
      <c r="A77" s="30" t="s">
        <v>13</v>
      </c>
      <c r="B77" s="31"/>
      <c r="C77" s="4">
        <f>C30*$I$11/2</f>
        <v>0</v>
      </c>
      <c r="D77" s="4">
        <f t="shared" ref="D77:P77" si="37">(C30+D30)*$I$11/2</f>
        <v>120</v>
      </c>
      <c r="E77" s="4">
        <f t="shared" si="37"/>
        <v>120</v>
      </c>
      <c r="F77" s="4">
        <f t="shared" si="37"/>
        <v>0</v>
      </c>
      <c r="G77" s="4">
        <f t="shared" si="37"/>
        <v>0</v>
      </c>
      <c r="H77" s="4">
        <f t="shared" si="37"/>
        <v>180</v>
      </c>
      <c r="I77" s="4">
        <f t="shared" si="37"/>
        <v>180</v>
      </c>
      <c r="J77" s="4">
        <f t="shared" si="37"/>
        <v>0</v>
      </c>
      <c r="K77" s="4">
        <f t="shared" si="37"/>
        <v>0</v>
      </c>
      <c r="L77" s="4">
        <f t="shared" si="37"/>
        <v>150</v>
      </c>
      <c r="M77" s="4">
        <f t="shared" si="37"/>
        <v>150</v>
      </c>
      <c r="N77" s="4">
        <f t="shared" si="37"/>
        <v>0</v>
      </c>
      <c r="O77" s="4">
        <f t="shared" si="37"/>
        <v>0</v>
      </c>
      <c r="P77" s="31">
        <f t="shared" si="37"/>
        <v>210</v>
      </c>
    </row>
    <row r="78" spans="1:18">
      <c r="A78" s="30" t="s">
        <v>14</v>
      </c>
      <c r="B78" s="31"/>
      <c r="C78" s="4">
        <f>C31*$J$11/2</f>
        <v>0</v>
      </c>
      <c r="D78" s="4">
        <f t="shared" ref="D78:P78" si="38">(C31+D31)*$J$11/2</f>
        <v>20</v>
      </c>
      <c r="E78" s="4">
        <f t="shared" si="38"/>
        <v>60</v>
      </c>
      <c r="F78" s="4">
        <f t="shared" si="38"/>
        <v>40</v>
      </c>
      <c r="G78" s="4">
        <f t="shared" si="38"/>
        <v>60</v>
      </c>
      <c r="H78" s="4">
        <f t="shared" si="38"/>
        <v>60</v>
      </c>
      <c r="I78" s="4">
        <f t="shared" si="38"/>
        <v>20</v>
      </c>
      <c r="J78" s="4">
        <f t="shared" si="38"/>
        <v>60</v>
      </c>
      <c r="K78" s="4">
        <f t="shared" si="38"/>
        <v>40</v>
      </c>
      <c r="L78" s="4">
        <f t="shared" si="38"/>
        <v>60</v>
      </c>
      <c r="M78" s="4">
        <f t="shared" si="38"/>
        <v>100</v>
      </c>
      <c r="N78" s="4">
        <f t="shared" si="38"/>
        <v>40</v>
      </c>
      <c r="O78" s="4">
        <f t="shared" si="38"/>
        <v>0</v>
      </c>
      <c r="P78" s="31">
        <f t="shared" si="38"/>
        <v>60</v>
      </c>
    </row>
    <row r="79" spans="1:18">
      <c r="A79" s="18" t="s">
        <v>48</v>
      </c>
      <c r="B79" s="49"/>
      <c r="C79" s="32">
        <f t="shared" ref="C79:P79" si="39">SUM(C75:C78)</f>
        <v>0</v>
      </c>
      <c r="D79" s="32">
        <f t="shared" si="39"/>
        <v>140</v>
      </c>
      <c r="E79" s="32">
        <f t="shared" si="39"/>
        <v>380</v>
      </c>
      <c r="F79" s="32">
        <f t="shared" si="39"/>
        <v>740</v>
      </c>
      <c r="G79" s="32">
        <f t="shared" si="39"/>
        <v>560</v>
      </c>
      <c r="H79" s="32">
        <f t="shared" si="39"/>
        <v>440</v>
      </c>
      <c r="I79" s="32">
        <f t="shared" si="39"/>
        <v>400</v>
      </c>
      <c r="J79" s="32">
        <f t="shared" si="39"/>
        <v>560</v>
      </c>
      <c r="K79" s="32">
        <f t="shared" si="39"/>
        <v>740</v>
      </c>
      <c r="L79" s="32">
        <f t="shared" si="39"/>
        <v>410</v>
      </c>
      <c r="M79" s="32">
        <f t="shared" si="39"/>
        <v>250</v>
      </c>
      <c r="N79" s="32">
        <f t="shared" si="39"/>
        <v>720</v>
      </c>
      <c r="O79" s="32">
        <f t="shared" si="39"/>
        <v>680</v>
      </c>
      <c r="P79" s="49">
        <f t="shared" si="39"/>
        <v>270</v>
      </c>
    </row>
    <row r="80" spans="1:18">
      <c r="A80" s="18" t="s">
        <v>49</v>
      </c>
      <c r="B80" s="49"/>
      <c r="C80" s="18">
        <v>550</v>
      </c>
      <c r="D80" s="32">
        <v>550</v>
      </c>
      <c r="E80" s="32">
        <v>550</v>
      </c>
      <c r="F80" s="32">
        <v>550</v>
      </c>
      <c r="G80" s="32">
        <v>550</v>
      </c>
      <c r="H80" s="32">
        <v>550</v>
      </c>
      <c r="I80" s="32">
        <v>550</v>
      </c>
      <c r="J80" s="32">
        <v>550</v>
      </c>
      <c r="K80" s="32">
        <v>550</v>
      </c>
      <c r="L80" s="32">
        <v>550</v>
      </c>
      <c r="M80" s="32">
        <v>550</v>
      </c>
      <c r="N80" s="32">
        <v>550</v>
      </c>
      <c r="O80" s="32">
        <v>550</v>
      </c>
      <c r="P80" s="49">
        <v>550</v>
      </c>
    </row>
    <row r="81" spans="1:18">
      <c r="A81" s="50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8">
      <c r="A82" s="27" t="s">
        <v>50</v>
      </c>
      <c r="B82" s="29"/>
      <c r="C82" s="51">
        <f t="shared" ref="C82:P82" si="40">C79/C80</f>
        <v>0</v>
      </c>
      <c r="D82" s="51">
        <f t="shared" si="40"/>
        <v>0.25454545454545452</v>
      </c>
      <c r="E82" s="51">
        <f t="shared" si="40"/>
        <v>0.69090909090909092</v>
      </c>
      <c r="F82" s="82">
        <f t="shared" si="40"/>
        <v>1.3454545454545455</v>
      </c>
      <c r="G82" s="82">
        <f t="shared" si="40"/>
        <v>1.0181818181818181</v>
      </c>
      <c r="H82" s="51">
        <f t="shared" si="40"/>
        <v>0.8</v>
      </c>
      <c r="I82" s="51">
        <f t="shared" si="40"/>
        <v>0.72727272727272729</v>
      </c>
      <c r="J82" s="82">
        <f t="shared" si="40"/>
        <v>1.0181818181818181</v>
      </c>
      <c r="K82" s="82">
        <f t="shared" si="40"/>
        <v>1.3454545454545455</v>
      </c>
      <c r="L82" s="51">
        <f t="shared" si="40"/>
        <v>0.74545454545454548</v>
      </c>
      <c r="M82" s="51">
        <f t="shared" si="40"/>
        <v>0.45454545454545453</v>
      </c>
      <c r="N82" s="82">
        <f t="shared" si="40"/>
        <v>1.3090909090909091</v>
      </c>
      <c r="O82" s="82">
        <f t="shared" si="40"/>
        <v>1.2363636363636363</v>
      </c>
      <c r="P82" s="52">
        <f t="shared" si="40"/>
        <v>0.49090909090909091</v>
      </c>
    </row>
    <row r="83" spans="1:18">
      <c r="A83" s="27" t="s">
        <v>51</v>
      </c>
      <c r="B83" s="29"/>
      <c r="C83" s="28">
        <f>C79</f>
        <v>0</v>
      </c>
      <c r="D83" s="28">
        <f t="shared" ref="D83:P84" si="41">C83+D79</f>
        <v>140</v>
      </c>
      <c r="E83" s="28">
        <f t="shared" si="41"/>
        <v>520</v>
      </c>
      <c r="F83" s="28">
        <f t="shared" si="41"/>
        <v>1260</v>
      </c>
      <c r="G83" s="28">
        <f t="shared" si="41"/>
        <v>1820</v>
      </c>
      <c r="H83" s="28">
        <f t="shared" si="41"/>
        <v>2260</v>
      </c>
      <c r="I83" s="28">
        <f t="shared" si="41"/>
        <v>2660</v>
      </c>
      <c r="J83" s="28">
        <f t="shared" si="41"/>
        <v>3220</v>
      </c>
      <c r="K83" s="28">
        <f t="shared" si="41"/>
        <v>3960</v>
      </c>
      <c r="L83" s="28">
        <f t="shared" si="41"/>
        <v>4370</v>
      </c>
      <c r="M83" s="28">
        <f t="shared" si="41"/>
        <v>4620</v>
      </c>
      <c r="N83" s="28">
        <f t="shared" si="41"/>
        <v>5340</v>
      </c>
      <c r="O83" s="28">
        <f t="shared" si="41"/>
        <v>6020</v>
      </c>
      <c r="P83" s="29">
        <f t="shared" si="41"/>
        <v>6290</v>
      </c>
    </row>
    <row r="84" spans="1:18">
      <c r="A84" s="44" t="s">
        <v>52</v>
      </c>
      <c r="B84" s="45"/>
      <c r="C84" s="43">
        <f>C80</f>
        <v>550</v>
      </c>
      <c r="D84" s="43">
        <f t="shared" si="41"/>
        <v>1100</v>
      </c>
      <c r="E84" s="43">
        <f t="shared" si="41"/>
        <v>1650</v>
      </c>
      <c r="F84" s="43">
        <f t="shared" si="41"/>
        <v>2200</v>
      </c>
      <c r="G84" s="43">
        <f t="shared" si="41"/>
        <v>2750</v>
      </c>
      <c r="H84" s="43">
        <f t="shared" si="41"/>
        <v>3300</v>
      </c>
      <c r="I84" s="43">
        <f t="shared" si="41"/>
        <v>3850</v>
      </c>
      <c r="J84" s="43">
        <f t="shared" si="41"/>
        <v>4400</v>
      </c>
      <c r="K84" s="43">
        <f t="shared" si="41"/>
        <v>4950</v>
      </c>
      <c r="L84" s="43">
        <f t="shared" si="41"/>
        <v>5500</v>
      </c>
      <c r="M84" s="43">
        <f t="shared" si="41"/>
        <v>6050</v>
      </c>
      <c r="N84" s="43">
        <f t="shared" si="41"/>
        <v>6600</v>
      </c>
      <c r="O84" s="43">
        <f t="shared" si="41"/>
        <v>7150</v>
      </c>
      <c r="P84" s="45">
        <f t="shared" si="41"/>
        <v>7700</v>
      </c>
    </row>
    <row r="86" spans="1:18">
      <c r="M86" s="3"/>
      <c r="N86" s="3"/>
      <c r="O86" s="3"/>
    </row>
    <row r="87" spans="1:18">
      <c r="A87" s="1" t="s">
        <v>58</v>
      </c>
    </row>
    <row r="88" spans="1:18">
      <c r="A88" s="35" t="s">
        <v>23</v>
      </c>
      <c r="B88" s="54"/>
      <c r="C88" s="37">
        <v>1</v>
      </c>
      <c r="D88" s="38">
        <v>2</v>
      </c>
      <c r="E88" s="38">
        <v>3</v>
      </c>
      <c r="F88" s="38">
        <v>4</v>
      </c>
      <c r="G88" s="38">
        <v>5</v>
      </c>
      <c r="H88" s="38">
        <v>6</v>
      </c>
      <c r="I88" s="38">
        <v>7</v>
      </c>
      <c r="J88" s="38">
        <v>8</v>
      </c>
      <c r="K88" s="38">
        <v>9</v>
      </c>
      <c r="L88" s="38">
        <v>10</v>
      </c>
      <c r="M88" s="38">
        <v>11</v>
      </c>
      <c r="N88" s="38">
        <v>12</v>
      </c>
      <c r="O88" s="38">
        <v>13</v>
      </c>
      <c r="P88" s="39">
        <v>14</v>
      </c>
    </row>
    <row r="89" spans="1:18">
      <c r="A89" s="41" t="s">
        <v>59</v>
      </c>
      <c r="B89" s="31"/>
      <c r="C89" s="27">
        <f>C41</f>
        <v>0</v>
      </c>
      <c r="D89" s="28">
        <f t="shared" ref="D89:N89" si="42">D41</f>
        <v>0</v>
      </c>
      <c r="E89" s="28">
        <f t="shared" si="42"/>
        <v>200</v>
      </c>
      <c r="F89" s="28">
        <f t="shared" si="42"/>
        <v>200</v>
      </c>
      <c r="G89" s="28">
        <f t="shared" si="42"/>
        <v>0</v>
      </c>
      <c r="H89" s="28">
        <f t="shared" si="42"/>
        <v>200</v>
      </c>
      <c r="I89" s="28">
        <f t="shared" si="42"/>
        <v>0</v>
      </c>
      <c r="J89" s="28">
        <f t="shared" si="42"/>
        <v>200</v>
      </c>
      <c r="K89" s="28">
        <f t="shared" si="42"/>
        <v>200</v>
      </c>
      <c r="L89" s="28">
        <f t="shared" si="42"/>
        <v>0</v>
      </c>
      <c r="M89" s="28">
        <f t="shared" si="42"/>
        <v>0</v>
      </c>
      <c r="N89" s="28">
        <f t="shared" si="42"/>
        <v>260</v>
      </c>
      <c r="O89" s="28"/>
      <c r="P89" s="29"/>
      <c r="R89" s="42"/>
    </row>
    <row r="90" spans="1:18">
      <c r="A90" s="41" t="s">
        <v>60</v>
      </c>
      <c r="B90" s="45"/>
      <c r="C90" s="44">
        <f>C43</f>
        <v>200</v>
      </c>
      <c r="D90" s="43">
        <f t="shared" ref="D90:N90" si="43">D43</f>
        <v>200</v>
      </c>
      <c r="E90" s="43">
        <f t="shared" si="43"/>
        <v>0</v>
      </c>
      <c r="F90" s="43">
        <f t="shared" si="43"/>
        <v>200</v>
      </c>
      <c r="G90" s="43">
        <f t="shared" si="43"/>
        <v>0</v>
      </c>
      <c r="H90" s="43">
        <f t="shared" si="43"/>
        <v>200</v>
      </c>
      <c r="I90" s="43">
        <f t="shared" si="43"/>
        <v>200</v>
      </c>
      <c r="J90" s="43">
        <f t="shared" si="43"/>
        <v>0</v>
      </c>
      <c r="K90" s="43">
        <f t="shared" si="43"/>
        <v>0</v>
      </c>
      <c r="L90" s="43">
        <f t="shared" si="43"/>
        <v>260</v>
      </c>
      <c r="M90" s="43">
        <f t="shared" si="43"/>
        <v>0</v>
      </c>
      <c r="N90" s="43">
        <f t="shared" si="43"/>
        <v>0</v>
      </c>
      <c r="O90" s="43"/>
      <c r="P90" s="45"/>
    </row>
    <row r="91" spans="1:18">
      <c r="A91" s="27" t="s">
        <v>70</v>
      </c>
      <c r="B91" s="31">
        <v>1</v>
      </c>
      <c r="C91" s="50">
        <f>CoutCmde</f>
        <v>500</v>
      </c>
      <c r="D91" s="50">
        <f>C91+(COLUMN()-2-$B91)*D$90*PrixA1*TauxDet</f>
        <v>545</v>
      </c>
      <c r="E91" s="50">
        <f t="shared" ref="E91:N91" si="44">D91+(COLUMN()-2-$B91)*E$90*PrixA1*TauxDet</f>
        <v>545</v>
      </c>
      <c r="F91" s="50">
        <f t="shared" si="44"/>
        <v>680</v>
      </c>
      <c r="G91" s="50">
        <f t="shared" si="44"/>
        <v>680</v>
      </c>
      <c r="H91" s="42">
        <f t="shared" si="44"/>
        <v>905</v>
      </c>
      <c r="I91" s="42">
        <f t="shared" si="44"/>
        <v>1175</v>
      </c>
      <c r="J91" s="42">
        <f t="shared" si="44"/>
        <v>1175</v>
      </c>
      <c r="K91" s="42">
        <f t="shared" si="44"/>
        <v>1175</v>
      </c>
      <c r="L91" s="74">
        <f t="shared" si="44"/>
        <v>1701.5</v>
      </c>
      <c r="M91" s="74">
        <f t="shared" si="44"/>
        <v>1701.5</v>
      </c>
      <c r="N91" s="74">
        <f t="shared" si="44"/>
        <v>1701.5</v>
      </c>
      <c r="O91" s="42"/>
      <c r="P91" s="31"/>
    </row>
    <row r="92" spans="1:18">
      <c r="B92" s="31">
        <v>2</v>
      </c>
      <c r="C92" s="42"/>
      <c r="D92" s="42">
        <f>MIN(C91)+CoutCmde</f>
        <v>1000</v>
      </c>
      <c r="E92" s="42">
        <f>D92+(COLUMN()-2-$B92)*E$90*PrixA1*TauxDet</f>
        <v>1000</v>
      </c>
      <c r="F92" s="42">
        <f>E92+(COLUMN()-2-$B92)*F$90*PrixA1*TauxDet</f>
        <v>1090</v>
      </c>
      <c r="G92" s="42">
        <f t="shared" ref="G92:N92" si="45">F92+(COLUMN()-2-$B92)*G$90*PrixA1*TauxDet</f>
        <v>1090</v>
      </c>
      <c r="H92" s="42">
        <f t="shared" si="45"/>
        <v>1270</v>
      </c>
      <c r="I92" s="42">
        <f t="shared" si="45"/>
        <v>1495</v>
      </c>
      <c r="J92" s="42">
        <f t="shared" si="45"/>
        <v>1495</v>
      </c>
      <c r="K92" s="42">
        <f t="shared" si="45"/>
        <v>1495</v>
      </c>
      <c r="L92" s="42">
        <f t="shared" si="45"/>
        <v>1963</v>
      </c>
      <c r="M92" s="42">
        <f t="shared" si="45"/>
        <v>1963</v>
      </c>
      <c r="N92" s="42">
        <f t="shared" si="45"/>
        <v>1963</v>
      </c>
      <c r="O92" s="42"/>
      <c r="P92" s="31"/>
    </row>
    <row r="93" spans="1:18">
      <c r="B93" s="31">
        <v>3</v>
      </c>
      <c r="C93" s="42"/>
      <c r="D93" s="50"/>
      <c r="E93" s="50"/>
      <c r="F93" s="50"/>
      <c r="G93" s="50"/>
      <c r="H93" s="42"/>
      <c r="I93" s="42"/>
      <c r="J93" s="42"/>
      <c r="K93" s="42"/>
      <c r="L93" s="42"/>
      <c r="M93" s="42"/>
      <c r="N93" s="42"/>
      <c r="O93" s="42"/>
      <c r="P93" s="31"/>
    </row>
    <row r="94" spans="1:18">
      <c r="A94" s="30"/>
      <c r="B94" s="31">
        <v>4</v>
      </c>
      <c r="C94" s="42"/>
      <c r="D94" s="42"/>
      <c r="E94" s="42"/>
      <c r="F94" s="42">
        <f>MIN(E91:E92)+CoutCmde</f>
        <v>1045</v>
      </c>
      <c r="G94" s="42">
        <f>F94+(COLUMN()-2-$B94)*G$90*PrixA1*TauxDet</f>
        <v>1045</v>
      </c>
      <c r="H94" s="42">
        <f>G94+(COLUMN()-2-$B94)*H$90*PrixA1*TauxDet</f>
        <v>1135</v>
      </c>
      <c r="I94" s="42">
        <f t="shared" ref="I94:N94" si="46">H94+(COLUMN()-2-$B94)*I$90*PrixA1*TauxDet</f>
        <v>1270</v>
      </c>
      <c r="J94" s="42">
        <f t="shared" si="46"/>
        <v>1270</v>
      </c>
      <c r="K94" s="42">
        <f t="shared" si="46"/>
        <v>1270</v>
      </c>
      <c r="L94" s="42">
        <f t="shared" si="46"/>
        <v>1621</v>
      </c>
      <c r="M94" s="42">
        <f t="shared" si="46"/>
        <v>1621</v>
      </c>
      <c r="N94" s="42">
        <f t="shared" si="46"/>
        <v>1621</v>
      </c>
      <c r="O94" s="42"/>
      <c r="P94" s="31"/>
    </row>
    <row r="95" spans="1:18">
      <c r="A95" s="30"/>
      <c r="B95" s="31">
        <v>5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31"/>
    </row>
    <row r="96" spans="1:18">
      <c r="A96" s="30"/>
      <c r="B96" s="31">
        <v>6</v>
      </c>
      <c r="C96" s="42"/>
      <c r="D96" s="42"/>
      <c r="E96" s="42"/>
      <c r="F96" s="42"/>
      <c r="G96" s="42"/>
      <c r="H96" s="50">
        <f>G91+CoutCmde</f>
        <v>1180</v>
      </c>
      <c r="I96" s="50">
        <f t="shared" ref="I96:N96" si="47">H96+(COLUMN()-2-$B96)*I$90*PrixA1*TauxDet</f>
        <v>1225</v>
      </c>
      <c r="J96" s="50">
        <f t="shared" si="47"/>
        <v>1225</v>
      </c>
      <c r="K96" s="50">
        <f t="shared" si="47"/>
        <v>1225</v>
      </c>
      <c r="L96" s="50">
        <f t="shared" si="47"/>
        <v>1459</v>
      </c>
      <c r="M96" s="50">
        <f t="shared" si="47"/>
        <v>1459</v>
      </c>
      <c r="N96" s="75">
        <f t="shared" si="47"/>
        <v>1459</v>
      </c>
      <c r="O96" s="42"/>
      <c r="P96" s="31"/>
    </row>
    <row r="97" spans="1:18">
      <c r="A97" s="30"/>
      <c r="B97" s="31">
        <v>7</v>
      </c>
      <c r="C97" s="42"/>
      <c r="D97" s="42"/>
      <c r="E97" s="42"/>
      <c r="F97" s="42"/>
      <c r="G97" s="42"/>
      <c r="H97" s="42"/>
      <c r="I97" s="42">
        <f>H91+CoutCmde</f>
        <v>1405</v>
      </c>
      <c r="J97" s="74">
        <f>I97+(COLUMN()-2-$B97)*J$90*PrixA1*TauxDet</f>
        <v>1405</v>
      </c>
      <c r="K97" s="74">
        <f>J97+(COLUMN()-2-$B97)*K$90*PrixA1*TauxDet</f>
        <v>1405</v>
      </c>
      <c r="L97" s="74">
        <f>K97+(COLUMN()-2-$B97)*L$90*PrixA1*TauxDet</f>
        <v>1580.5</v>
      </c>
      <c r="M97" s="74">
        <f>L97+(COLUMN()-2-$B97)*M$90*PrixA1*TauxDet</f>
        <v>1580.5</v>
      </c>
      <c r="N97" s="74">
        <f>M97+(COLUMN()-2-$B97)*N$90*PrixA1*TauxDet</f>
        <v>1580.5</v>
      </c>
      <c r="O97" s="42"/>
      <c r="P97" s="31"/>
    </row>
    <row r="98" spans="1:18">
      <c r="A98" s="30"/>
      <c r="B98" s="31">
        <v>8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31"/>
    </row>
    <row r="99" spans="1:18">
      <c r="A99" s="30"/>
      <c r="B99" s="31">
        <v>9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31"/>
    </row>
    <row r="100" spans="1:18">
      <c r="A100" s="30"/>
      <c r="B100" s="31">
        <v>10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>
        <f>K91+CoutCmde</f>
        <v>1675</v>
      </c>
      <c r="M100" s="42">
        <f>L100+(COLUMN()-2-$B100)*M$90*PrixA1*TauxDet</f>
        <v>1675</v>
      </c>
      <c r="N100" s="42">
        <f>M100+(COLUMN()-2-$B100)*N$90*PrixA1*TauxDet</f>
        <v>1675</v>
      </c>
      <c r="O100" s="42"/>
      <c r="P100" s="31"/>
    </row>
    <row r="101" spans="1:18">
      <c r="A101" s="27" t="s">
        <v>61</v>
      </c>
      <c r="B101" s="28"/>
      <c r="C101" s="76">
        <f>SUM(C90:G90)</f>
        <v>600</v>
      </c>
      <c r="D101" s="28"/>
      <c r="E101" s="76"/>
      <c r="F101" s="76"/>
      <c r="G101" s="76"/>
      <c r="H101" s="76">
        <f>SUM(H90:N90)</f>
        <v>660</v>
      </c>
      <c r="I101" s="76"/>
      <c r="J101" s="76"/>
      <c r="K101" s="76"/>
      <c r="L101" s="76"/>
      <c r="M101" s="76"/>
      <c r="N101" s="76"/>
      <c r="O101" s="76"/>
      <c r="P101" s="77"/>
    </row>
    <row r="102" spans="1:18">
      <c r="A102" s="30" t="s">
        <v>53</v>
      </c>
      <c r="C102" s="78"/>
      <c r="D102" s="78"/>
      <c r="E102" s="78">
        <f>C101</f>
        <v>600</v>
      </c>
      <c r="F102" s="78">
        <f t="shared" ref="F102:P102" si="48">D101</f>
        <v>0</v>
      </c>
      <c r="G102" s="78">
        <f t="shared" si="48"/>
        <v>0</v>
      </c>
      <c r="H102" s="78">
        <f t="shared" si="48"/>
        <v>0</v>
      </c>
      <c r="I102" s="78">
        <f t="shared" si="48"/>
        <v>0</v>
      </c>
      <c r="J102" s="78">
        <f t="shared" si="48"/>
        <v>660</v>
      </c>
      <c r="K102" s="78">
        <f t="shared" si="48"/>
        <v>0</v>
      </c>
      <c r="L102" s="78">
        <f t="shared" si="48"/>
        <v>0</v>
      </c>
      <c r="M102" s="78">
        <f t="shared" si="48"/>
        <v>0</v>
      </c>
      <c r="N102" s="78">
        <f t="shared" si="48"/>
        <v>0</v>
      </c>
      <c r="O102" s="78">
        <f t="shared" si="48"/>
        <v>0</v>
      </c>
      <c r="P102" s="79">
        <f t="shared" si="48"/>
        <v>0</v>
      </c>
    </row>
    <row r="103" spans="1:18">
      <c r="A103" s="30" t="s">
        <v>30</v>
      </c>
      <c r="C103" s="78"/>
      <c r="D103" s="78"/>
      <c r="E103" s="78">
        <f t="shared" ref="E103:P103" si="49">D103+E102-E89</f>
        <v>400</v>
      </c>
      <c r="F103" s="78">
        <f t="shared" si="49"/>
        <v>200</v>
      </c>
      <c r="G103" s="78">
        <f t="shared" si="49"/>
        <v>200</v>
      </c>
      <c r="H103" s="78">
        <f t="shared" si="49"/>
        <v>0</v>
      </c>
      <c r="I103" s="78">
        <f t="shared" si="49"/>
        <v>0</v>
      </c>
      <c r="J103" s="78">
        <f t="shared" si="49"/>
        <v>460</v>
      </c>
      <c r="K103" s="78">
        <f t="shared" si="49"/>
        <v>260</v>
      </c>
      <c r="L103" s="78">
        <f t="shared" si="49"/>
        <v>260</v>
      </c>
      <c r="M103" s="78">
        <f t="shared" si="49"/>
        <v>260</v>
      </c>
      <c r="N103" s="78">
        <f t="shared" si="49"/>
        <v>0</v>
      </c>
      <c r="O103" s="78">
        <f t="shared" si="49"/>
        <v>0</v>
      </c>
      <c r="P103" s="79">
        <f t="shared" si="49"/>
        <v>0</v>
      </c>
    </row>
    <row r="104" spans="1:18">
      <c r="A104" s="44" t="s">
        <v>54</v>
      </c>
      <c r="B104" s="43"/>
      <c r="C104" s="80"/>
      <c r="D104" s="80"/>
      <c r="E104" s="80">
        <f t="shared" ref="E104:P104" si="50">E103*$C$11*$E$7</f>
        <v>90</v>
      </c>
      <c r="F104" s="80">
        <f t="shared" si="50"/>
        <v>45</v>
      </c>
      <c r="G104" s="80">
        <f t="shared" si="50"/>
        <v>45</v>
      </c>
      <c r="H104" s="80">
        <f t="shared" si="50"/>
        <v>0</v>
      </c>
      <c r="I104" s="80">
        <f t="shared" si="50"/>
        <v>0</v>
      </c>
      <c r="J104" s="80">
        <f t="shared" si="50"/>
        <v>103.5</v>
      </c>
      <c r="K104" s="80">
        <f t="shared" si="50"/>
        <v>58.5</v>
      </c>
      <c r="L104" s="80">
        <f t="shared" si="50"/>
        <v>58.5</v>
      </c>
      <c r="M104" s="80">
        <f t="shared" si="50"/>
        <v>58.5</v>
      </c>
      <c r="N104" s="80">
        <f t="shared" si="50"/>
        <v>0</v>
      </c>
      <c r="O104" s="80">
        <f t="shared" si="50"/>
        <v>0</v>
      </c>
      <c r="P104" s="81">
        <f t="shared" si="50"/>
        <v>0</v>
      </c>
    </row>
    <row r="105" spans="1:18">
      <c r="A105" s="4" t="s">
        <v>4</v>
      </c>
      <c r="E105" s="4">
        <f>COUNTIF(C101:P101,"&gt;0")*CoutCmde</f>
        <v>1000</v>
      </c>
      <c r="G105" s="4" t="s">
        <v>55</v>
      </c>
      <c r="K105" s="78">
        <f>SUM(E104:P104)</f>
        <v>459</v>
      </c>
      <c r="M105" s="3" t="s">
        <v>19</v>
      </c>
      <c r="O105" s="3">
        <f>E105+K105</f>
        <v>1459</v>
      </c>
    </row>
    <row r="106" spans="1:18">
      <c r="A106" s="4" t="s">
        <v>56</v>
      </c>
      <c r="E106" s="4">
        <f>COUNTIF(C90:N90,"&gt;0")*CoutCmde</f>
        <v>3000</v>
      </c>
      <c r="M106" s="3" t="s">
        <v>57</v>
      </c>
      <c r="N106" s="3"/>
      <c r="O106" s="3">
        <f>E106-O105</f>
        <v>1541</v>
      </c>
    </row>
    <row r="107" spans="1:18">
      <c r="M107" s="3"/>
      <c r="N107" s="3"/>
      <c r="O107" s="3"/>
    </row>
    <row r="108" spans="1:18">
      <c r="A108" s="1" t="s">
        <v>66</v>
      </c>
    </row>
    <row r="109" spans="1:18">
      <c r="A109" s="35" t="s">
        <v>23</v>
      </c>
      <c r="B109" s="54"/>
      <c r="C109" s="37">
        <v>1</v>
      </c>
      <c r="D109" s="38">
        <v>2</v>
      </c>
      <c r="E109" s="38">
        <v>3</v>
      </c>
      <c r="F109" s="38">
        <v>4</v>
      </c>
      <c r="G109" s="38">
        <v>5</v>
      </c>
      <c r="H109" s="38">
        <v>6</v>
      </c>
      <c r="I109" s="38">
        <v>7</v>
      </c>
      <c r="J109" s="38">
        <v>8</v>
      </c>
      <c r="K109" s="38">
        <v>9</v>
      </c>
      <c r="L109" s="38">
        <v>10</v>
      </c>
      <c r="M109" s="38">
        <v>11</v>
      </c>
      <c r="N109" s="38">
        <v>12</v>
      </c>
      <c r="O109" s="38">
        <v>13</v>
      </c>
      <c r="P109" s="39">
        <v>14</v>
      </c>
    </row>
    <row r="110" spans="1:18">
      <c r="A110" s="41" t="s">
        <v>67</v>
      </c>
      <c r="B110" s="31"/>
      <c r="C110" s="27">
        <f>C45</f>
        <v>0</v>
      </c>
      <c r="D110" s="28">
        <f t="shared" ref="D110:P110" si="51">D45</f>
        <v>0</v>
      </c>
      <c r="E110" s="28">
        <f t="shared" si="51"/>
        <v>0</v>
      </c>
      <c r="F110" s="28">
        <f t="shared" si="51"/>
        <v>300</v>
      </c>
      <c r="G110" s="28">
        <f t="shared" si="51"/>
        <v>0</v>
      </c>
      <c r="H110" s="28">
        <f t="shared" si="51"/>
        <v>0</v>
      </c>
      <c r="I110" s="28">
        <f t="shared" si="51"/>
        <v>0</v>
      </c>
      <c r="J110" s="28">
        <f t="shared" si="51"/>
        <v>300</v>
      </c>
      <c r="K110" s="28">
        <f t="shared" si="51"/>
        <v>0</v>
      </c>
      <c r="L110" s="28">
        <f t="shared" si="51"/>
        <v>0</v>
      </c>
      <c r="M110" s="28">
        <f t="shared" si="51"/>
        <v>0</v>
      </c>
      <c r="N110" s="28">
        <f t="shared" si="51"/>
        <v>420</v>
      </c>
      <c r="O110" s="28">
        <f t="shared" si="51"/>
        <v>0</v>
      </c>
      <c r="P110" s="29">
        <f t="shared" si="51"/>
        <v>0</v>
      </c>
      <c r="R110" s="42"/>
    </row>
    <row r="111" spans="1:18">
      <c r="A111" s="41" t="s">
        <v>68</v>
      </c>
      <c r="B111" s="31"/>
      <c r="C111" s="44">
        <f>C47</f>
        <v>0</v>
      </c>
      <c r="D111" s="43">
        <f t="shared" ref="D111:P111" si="52">D47</f>
        <v>300</v>
      </c>
      <c r="E111" s="43">
        <f t="shared" si="52"/>
        <v>0</v>
      </c>
      <c r="F111" s="43">
        <f t="shared" si="52"/>
        <v>0</v>
      </c>
      <c r="G111" s="43">
        <f t="shared" si="52"/>
        <v>0</v>
      </c>
      <c r="H111" s="43">
        <f t="shared" si="52"/>
        <v>300</v>
      </c>
      <c r="I111" s="43">
        <f t="shared" si="52"/>
        <v>0</v>
      </c>
      <c r="J111" s="43">
        <f t="shared" si="52"/>
        <v>0</v>
      </c>
      <c r="K111" s="43">
        <f t="shared" si="52"/>
        <v>0</v>
      </c>
      <c r="L111" s="43">
        <f t="shared" si="52"/>
        <v>420</v>
      </c>
      <c r="M111" s="43">
        <f t="shared" si="52"/>
        <v>0</v>
      </c>
      <c r="N111" s="43">
        <f t="shared" si="52"/>
        <v>0</v>
      </c>
      <c r="O111" s="43">
        <f t="shared" si="52"/>
        <v>0</v>
      </c>
      <c r="P111" s="45">
        <f t="shared" si="52"/>
        <v>0</v>
      </c>
    </row>
    <row r="112" spans="1:18">
      <c r="A112" s="27" t="s">
        <v>70</v>
      </c>
      <c r="B112" s="29">
        <v>3</v>
      </c>
      <c r="C112" s="28"/>
      <c r="D112" s="50">
        <f>CoutCmde</f>
        <v>500</v>
      </c>
      <c r="E112" s="50">
        <f>D112+(COLUMN()-2-$B112)*E$111*PrixA2*TauxDet</f>
        <v>500</v>
      </c>
      <c r="F112" s="50">
        <f t="shared" ref="F112:L112" si="53">E112+(COLUMN()-2-$B112)*F$111*PrixA2*TauxDet</f>
        <v>500</v>
      </c>
      <c r="G112" s="50">
        <f t="shared" si="53"/>
        <v>500</v>
      </c>
      <c r="H112" s="50">
        <f t="shared" si="53"/>
        <v>567.5</v>
      </c>
      <c r="I112" s="50">
        <f t="shared" si="53"/>
        <v>567.5</v>
      </c>
      <c r="J112" s="50">
        <f t="shared" si="53"/>
        <v>567.5</v>
      </c>
      <c r="K112" s="50">
        <f t="shared" si="53"/>
        <v>567.5</v>
      </c>
      <c r="L112" s="75">
        <f t="shared" si="53"/>
        <v>788</v>
      </c>
      <c r="M112" s="42"/>
      <c r="N112" s="28"/>
      <c r="O112" s="28"/>
      <c r="P112" s="29"/>
    </row>
    <row r="113" spans="1:16">
      <c r="A113" s="30"/>
      <c r="B113" s="31">
        <v>4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31"/>
    </row>
    <row r="114" spans="1:16">
      <c r="A114" s="30"/>
      <c r="B114" s="31">
        <v>5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31"/>
    </row>
    <row r="115" spans="1:16">
      <c r="A115" s="30"/>
      <c r="B115" s="31">
        <v>6</v>
      </c>
      <c r="C115" s="42"/>
      <c r="D115" s="42"/>
      <c r="E115" s="42"/>
      <c r="F115" s="42"/>
      <c r="G115" s="42"/>
      <c r="H115" s="50"/>
      <c r="I115" s="50"/>
      <c r="J115" s="42"/>
      <c r="K115" s="42"/>
      <c r="L115" s="42"/>
      <c r="M115" s="42"/>
      <c r="N115" s="42"/>
      <c r="O115" s="42"/>
      <c r="P115" s="31"/>
    </row>
    <row r="116" spans="1:16">
      <c r="A116" s="30"/>
      <c r="B116" s="31">
        <v>7</v>
      </c>
      <c r="C116" s="42"/>
      <c r="D116" s="42"/>
      <c r="E116" s="42"/>
      <c r="F116" s="42"/>
      <c r="G116" s="42"/>
      <c r="H116" s="42">
        <f>G112+CoutCmde</f>
        <v>1000</v>
      </c>
      <c r="I116" s="42">
        <f>H116+(COLUMN()-2-$B116)*I$111*PrixA2*TauxDet</f>
        <v>1000</v>
      </c>
      <c r="J116" s="42">
        <f>I116+(COLUMN()-2-$B116)*J$111*PrixA2*TauxDet</f>
        <v>1000</v>
      </c>
      <c r="K116" s="42">
        <f>J116+(COLUMN()-2-$B116)*K$111*PrixA2*TauxDet</f>
        <v>1000</v>
      </c>
      <c r="L116" s="42">
        <f>K116+(COLUMN()-2-$B116)*L$111*PrixA2*TauxDet</f>
        <v>1094.5</v>
      </c>
      <c r="M116" s="42"/>
      <c r="N116" s="42"/>
      <c r="O116" s="42"/>
      <c r="P116" s="31"/>
    </row>
    <row r="117" spans="1:16">
      <c r="A117" s="30"/>
      <c r="B117" s="31">
        <v>8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31"/>
    </row>
    <row r="118" spans="1:16">
      <c r="A118" s="30"/>
      <c r="B118" s="31">
        <v>9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31"/>
    </row>
    <row r="119" spans="1:16">
      <c r="A119" s="30"/>
      <c r="B119" s="31">
        <v>10</v>
      </c>
      <c r="C119" s="42"/>
      <c r="D119" s="42"/>
      <c r="E119" s="42"/>
      <c r="F119" s="42"/>
      <c r="G119" s="42"/>
      <c r="H119" s="42"/>
      <c r="I119" s="42"/>
      <c r="J119" s="50"/>
      <c r="K119" s="50"/>
      <c r="L119" s="42"/>
      <c r="M119" s="42"/>
      <c r="N119" s="42"/>
      <c r="O119" s="42"/>
      <c r="P119" s="31"/>
    </row>
    <row r="120" spans="1:16">
      <c r="A120" s="44"/>
      <c r="B120" s="45">
        <v>11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>
        <f>K112+CoutCmde</f>
        <v>1067.5</v>
      </c>
      <c r="M120" s="43"/>
      <c r="N120" s="43"/>
      <c r="O120" s="43"/>
      <c r="P120" s="45"/>
    </row>
    <row r="121" spans="1:16">
      <c r="A121" s="30" t="s">
        <v>61</v>
      </c>
      <c r="D121" s="4">
        <v>1080</v>
      </c>
      <c r="P121" s="31"/>
    </row>
    <row r="122" spans="1:16">
      <c r="A122" s="30" t="s">
        <v>53</v>
      </c>
      <c r="F122" s="4">
        <f t="shared" ref="F122:N122" si="54">D121</f>
        <v>1080</v>
      </c>
      <c r="G122" s="4">
        <f t="shared" si="54"/>
        <v>0</v>
      </c>
      <c r="H122" s="4">
        <f t="shared" si="54"/>
        <v>0</v>
      </c>
      <c r="I122" s="4">
        <f t="shared" si="54"/>
        <v>0</v>
      </c>
      <c r="J122" s="4">
        <f t="shared" si="54"/>
        <v>0</v>
      </c>
      <c r="K122" s="4">
        <f t="shared" si="54"/>
        <v>0</v>
      </c>
      <c r="L122" s="4">
        <f t="shared" si="54"/>
        <v>0</v>
      </c>
      <c r="M122" s="4">
        <f t="shared" si="54"/>
        <v>0</v>
      </c>
      <c r="N122" s="4">
        <f t="shared" si="54"/>
        <v>0</v>
      </c>
      <c r="P122" s="31"/>
    </row>
    <row r="123" spans="1:16">
      <c r="A123" s="30" t="s">
        <v>30</v>
      </c>
      <c r="F123" s="4">
        <f>F122-F110</f>
        <v>780</v>
      </c>
      <c r="G123" s="4">
        <f t="shared" ref="G123:P123" si="55">F123+G122-G110</f>
        <v>780</v>
      </c>
      <c r="H123" s="4">
        <f t="shared" si="55"/>
        <v>780</v>
      </c>
      <c r="I123" s="4">
        <f t="shared" si="55"/>
        <v>780</v>
      </c>
      <c r="J123" s="4">
        <f t="shared" si="55"/>
        <v>480</v>
      </c>
      <c r="K123" s="4">
        <f t="shared" si="55"/>
        <v>480</v>
      </c>
      <c r="L123" s="4">
        <f t="shared" si="55"/>
        <v>480</v>
      </c>
      <c r="M123" s="4">
        <f t="shared" si="55"/>
        <v>480</v>
      </c>
      <c r="N123" s="4">
        <f t="shared" si="55"/>
        <v>60</v>
      </c>
      <c r="O123" s="4">
        <f t="shared" si="55"/>
        <v>60</v>
      </c>
      <c r="P123" s="31">
        <f t="shared" si="55"/>
        <v>60</v>
      </c>
    </row>
    <row r="124" spans="1:16">
      <c r="A124" s="44" t="s">
        <v>54</v>
      </c>
      <c r="B124" s="43"/>
      <c r="C124" s="43"/>
      <c r="D124" s="43"/>
      <c r="E124" s="43"/>
      <c r="F124" s="43"/>
      <c r="G124" s="43">
        <f t="shared" ref="G124:N124" si="56">G123*$C$11*$E$7</f>
        <v>175.5</v>
      </c>
      <c r="H124" s="43">
        <f t="shared" si="56"/>
        <v>175.5</v>
      </c>
      <c r="I124" s="43">
        <f t="shared" si="56"/>
        <v>175.5</v>
      </c>
      <c r="J124" s="43">
        <f t="shared" si="56"/>
        <v>108</v>
      </c>
      <c r="K124" s="43">
        <f t="shared" si="56"/>
        <v>108</v>
      </c>
      <c r="L124" s="43">
        <f t="shared" si="56"/>
        <v>108</v>
      </c>
      <c r="M124" s="43">
        <f t="shared" si="56"/>
        <v>108</v>
      </c>
      <c r="N124" s="43">
        <f t="shared" si="56"/>
        <v>13.5</v>
      </c>
      <c r="O124" s="43">
        <f>O123*$C$11*$E$7</f>
        <v>13.5</v>
      </c>
      <c r="P124" s="45">
        <f>P123*$C$11*$E$7</f>
        <v>13.5</v>
      </c>
    </row>
    <row r="125" spans="1:16">
      <c r="A125" s="4" t="s">
        <v>4</v>
      </c>
      <c r="E125" s="4">
        <f>COUNTIF(C121:P121,"&gt;0")*CoutCmde</f>
        <v>500</v>
      </c>
      <c r="G125" s="4" t="s">
        <v>55</v>
      </c>
      <c r="K125" s="4">
        <f>SUM(G124:P124)</f>
        <v>999</v>
      </c>
      <c r="M125" s="3" t="s">
        <v>19</v>
      </c>
      <c r="O125" s="3">
        <f>E125+K125</f>
        <v>1499</v>
      </c>
    </row>
    <row r="126" spans="1:16">
      <c r="A126" s="4" t="s">
        <v>56</v>
      </c>
      <c r="E126" s="4">
        <f>COUNTIF(C111:P111,"&gt;0")*CoutCmde</f>
        <v>1500</v>
      </c>
      <c r="M126" s="3" t="s">
        <v>57</v>
      </c>
      <c r="N126" s="3"/>
      <c r="O126" s="3">
        <f>E126-O125</f>
        <v>1</v>
      </c>
    </row>
    <row r="128" spans="1:16">
      <c r="A128" s="1" t="s">
        <v>62</v>
      </c>
    </row>
    <row r="129" spans="1:18">
      <c r="A129" s="35" t="s">
        <v>23</v>
      </c>
      <c r="B129" s="36"/>
      <c r="C129" s="37">
        <v>1</v>
      </c>
      <c r="D129" s="38">
        <v>2</v>
      </c>
      <c r="E129" s="38">
        <v>3</v>
      </c>
      <c r="F129" s="38">
        <v>4</v>
      </c>
      <c r="G129" s="38">
        <v>5</v>
      </c>
      <c r="H129" s="38">
        <v>6</v>
      </c>
      <c r="I129" s="38">
        <v>7</v>
      </c>
      <c r="J129" s="38">
        <v>8</v>
      </c>
      <c r="K129" s="38">
        <v>9</v>
      </c>
      <c r="L129" s="38">
        <v>10</v>
      </c>
      <c r="M129" s="38">
        <v>11</v>
      </c>
      <c r="N129" s="38">
        <v>12</v>
      </c>
      <c r="O129" s="38">
        <v>13</v>
      </c>
      <c r="P129" s="39">
        <v>14</v>
      </c>
    </row>
    <row r="130" spans="1:18">
      <c r="A130" s="41" t="s">
        <v>63</v>
      </c>
      <c r="B130" s="29"/>
      <c r="C130" s="42">
        <f t="shared" ref="C130:P130" si="57">C49</f>
        <v>0</v>
      </c>
      <c r="D130" s="42">
        <f t="shared" si="57"/>
        <v>0</v>
      </c>
      <c r="E130" s="42">
        <f t="shared" si="57"/>
        <v>0</v>
      </c>
      <c r="F130" s="42">
        <f t="shared" si="57"/>
        <v>480</v>
      </c>
      <c r="G130" s="42">
        <f t="shared" si="57"/>
        <v>120</v>
      </c>
      <c r="H130" s="42">
        <f t="shared" si="57"/>
        <v>440</v>
      </c>
      <c r="I130" s="42">
        <f t="shared" si="57"/>
        <v>40</v>
      </c>
      <c r="J130" s="42">
        <f t="shared" si="57"/>
        <v>580</v>
      </c>
      <c r="K130" s="42">
        <f t="shared" si="57"/>
        <v>200</v>
      </c>
      <c r="L130" s="42">
        <f t="shared" si="57"/>
        <v>320</v>
      </c>
      <c r="M130" s="42">
        <f t="shared" si="57"/>
        <v>80</v>
      </c>
      <c r="N130" s="42">
        <f t="shared" si="57"/>
        <v>680</v>
      </c>
      <c r="O130" s="42">
        <f t="shared" si="57"/>
        <v>0</v>
      </c>
      <c r="P130" s="31">
        <f t="shared" si="57"/>
        <v>400</v>
      </c>
      <c r="R130" s="42"/>
    </row>
    <row r="131" spans="1:18">
      <c r="A131" s="41" t="s">
        <v>69</v>
      </c>
      <c r="B131" s="45"/>
      <c r="C131" s="42">
        <f t="shared" ref="C131:P131" si="58">C51</f>
        <v>0</v>
      </c>
      <c r="D131" s="42">
        <f t="shared" si="58"/>
        <v>480</v>
      </c>
      <c r="E131" s="42">
        <f t="shared" si="58"/>
        <v>120</v>
      </c>
      <c r="F131" s="42">
        <f t="shared" si="58"/>
        <v>440</v>
      </c>
      <c r="G131" s="42">
        <f t="shared" si="58"/>
        <v>40</v>
      </c>
      <c r="H131" s="42">
        <f t="shared" si="58"/>
        <v>580</v>
      </c>
      <c r="I131" s="42">
        <f t="shared" si="58"/>
        <v>200</v>
      </c>
      <c r="J131" s="42">
        <f t="shared" si="58"/>
        <v>320</v>
      </c>
      <c r="K131" s="42">
        <f t="shared" si="58"/>
        <v>80</v>
      </c>
      <c r="L131" s="42">
        <f t="shared" si="58"/>
        <v>680</v>
      </c>
      <c r="M131" s="42"/>
      <c r="N131" s="42">
        <f t="shared" si="58"/>
        <v>400</v>
      </c>
      <c r="O131" s="42">
        <f t="shared" si="58"/>
        <v>0</v>
      </c>
      <c r="P131" s="31">
        <f t="shared" si="58"/>
        <v>0</v>
      </c>
    </row>
    <row r="132" spans="1:18">
      <c r="A132" s="27" t="s">
        <v>70</v>
      </c>
      <c r="B132" s="29">
        <v>2</v>
      </c>
      <c r="C132" s="53"/>
      <c r="D132" s="53">
        <f>CoutCmde</f>
        <v>500</v>
      </c>
      <c r="E132" s="53">
        <f t="shared" ref="E132:N132" si="59">D132+(COLUMN()-2-$B132)*E$131*PrixA3*TauxDet</f>
        <v>518</v>
      </c>
      <c r="F132" s="53">
        <f t="shared" si="59"/>
        <v>650</v>
      </c>
      <c r="G132" s="53">
        <f t="shared" si="59"/>
        <v>668</v>
      </c>
      <c r="H132" s="28">
        <f t="shared" si="59"/>
        <v>1016</v>
      </c>
      <c r="I132" s="28">
        <f t="shared" si="59"/>
        <v>1166</v>
      </c>
      <c r="J132" s="28">
        <f t="shared" si="59"/>
        <v>1454</v>
      </c>
      <c r="K132" s="28">
        <f t="shared" si="59"/>
        <v>1538</v>
      </c>
      <c r="L132" s="28">
        <f t="shared" si="59"/>
        <v>2354</v>
      </c>
      <c r="M132" s="28">
        <f t="shared" si="59"/>
        <v>2354</v>
      </c>
      <c r="N132" s="28">
        <f t="shared" si="59"/>
        <v>2954</v>
      </c>
      <c r="O132" s="28"/>
      <c r="P132" s="29"/>
    </row>
    <row r="133" spans="1:18">
      <c r="A133" s="30"/>
      <c r="B133" s="31">
        <v>3</v>
      </c>
      <c r="C133" s="42"/>
      <c r="D133" s="42"/>
      <c r="E133" s="42">
        <f>MIN(D132)+CoutCmde</f>
        <v>1000</v>
      </c>
      <c r="F133" s="42">
        <f>E133+(COLUMN()-2-$B133)*F$131*PrixA3*TauxDet</f>
        <v>1066</v>
      </c>
      <c r="G133" s="42">
        <f t="shared" ref="G133:N133" si="60">F133+(COLUMN()-2-$B133)*G$131*PrixA3*TauxDet</f>
        <v>1078</v>
      </c>
      <c r="H133" s="42">
        <f t="shared" si="60"/>
        <v>1339</v>
      </c>
      <c r="I133" s="42">
        <f t="shared" si="60"/>
        <v>1459</v>
      </c>
      <c r="J133" s="42">
        <f t="shared" si="60"/>
        <v>1699</v>
      </c>
      <c r="K133" s="42">
        <f t="shared" si="60"/>
        <v>1771</v>
      </c>
      <c r="L133" s="42">
        <f t="shared" si="60"/>
        <v>2485</v>
      </c>
      <c r="M133" s="42">
        <f t="shared" si="60"/>
        <v>2485</v>
      </c>
      <c r="N133" s="42">
        <f t="shared" si="60"/>
        <v>3025</v>
      </c>
      <c r="O133" s="42"/>
      <c r="P133" s="31"/>
    </row>
    <row r="134" spans="1:18">
      <c r="A134" s="30"/>
      <c r="B134" s="31">
        <v>4</v>
      </c>
      <c r="C134" s="42"/>
      <c r="D134" s="42"/>
      <c r="E134" s="50"/>
      <c r="F134" s="42">
        <f>MIN(E132:E133)+CoutCmde</f>
        <v>1018</v>
      </c>
      <c r="G134" s="42">
        <f>F134+(COLUMN()-2-$B134)*G$131*PrixA3*TauxDet</f>
        <v>1024</v>
      </c>
      <c r="H134" s="42">
        <f t="shared" ref="H134:N134" si="61">G134+(COLUMN()-2-$B134)*H$131*PrixA3*TauxDet</f>
        <v>1198</v>
      </c>
      <c r="I134" s="42">
        <f t="shared" si="61"/>
        <v>1288</v>
      </c>
      <c r="J134" s="42">
        <f t="shared" si="61"/>
        <v>1480</v>
      </c>
      <c r="K134" s="42">
        <f t="shared" si="61"/>
        <v>1540</v>
      </c>
      <c r="L134" s="42">
        <f t="shared" si="61"/>
        <v>2152</v>
      </c>
      <c r="M134" s="42">
        <f t="shared" si="61"/>
        <v>2152</v>
      </c>
      <c r="N134" s="42">
        <f t="shared" si="61"/>
        <v>2632</v>
      </c>
      <c r="O134" s="42"/>
      <c r="P134" s="31"/>
    </row>
    <row r="135" spans="1:18">
      <c r="A135" s="30"/>
      <c r="B135" s="31">
        <v>5</v>
      </c>
      <c r="C135" s="42"/>
      <c r="D135" s="42"/>
      <c r="E135" s="42"/>
      <c r="F135" s="42"/>
      <c r="G135" s="42">
        <f>MIN(F132:F134)+CoutCmde</f>
        <v>1150</v>
      </c>
      <c r="H135" s="42">
        <f>G135+(COLUMN()-2-$B135)*H$131*PrixA3*TauxDet</f>
        <v>1237</v>
      </c>
      <c r="I135" s="42">
        <f t="shared" ref="I135:N139" si="62">H135+(COLUMN()-2-$B135)*I$131*PrixA3*TauxDet</f>
        <v>1297</v>
      </c>
      <c r="J135" s="42">
        <f t="shared" si="62"/>
        <v>1441</v>
      </c>
      <c r="K135" s="42">
        <f t="shared" si="62"/>
        <v>1489</v>
      </c>
      <c r="L135" s="42">
        <f t="shared" si="62"/>
        <v>1999</v>
      </c>
      <c r="M135" s="42">
        <f t="shared" si="62"/>
        <v>1999</v>
      </c>
      <c r="N135" s="42">
        <f t="shared" si="62"/>
        <v>2419</v>
      </c>
      <c r="O135" s="42"/>
      <c r="P135" s="31"/>
    </row>
    <row r="136" spans="1:18">
      <c r="A136" s="30"/>
      <c r="B136" s="31">
        <v>6</v>
      </c>
      <c r="C136" s="42"/>
      <c r="D136" s="42"/>
      <c r="E136" s="42"/>
      <c r="F136" s="42"/>
      <c r="G136" s="42"/>
      <c r="H136" s="50">
        <f>MIN(G132:G135)+CoutCmde</f>
        <v>1168</v>
      </c>
      <c r="I136" s="50">
        <f t="shared" ref="I136:N136" si="63">H136+(COLUMN()-2-$B136)*I$131*PrixA3*TauxDet</f>
        <v>1198</v>
      </c>
      <c r="J136" s="50">
        <f t="shared" si="63"/>
        <v>1294</v>
      </c>
      <c r="K136" s="50">
        <f t="shared" si="63"/>
        <v>1330</v>
      </c>
      <c r="L136" s="42">
        <f t="shared" si="63"/>
        <v>1738</v>
      </c>
      <c r="M136" s="42">
        <f t="shared" si="63"/>
        <v>1738</v>
      </c>
      <c r="N136" s="42">
        <f t="shared" si="63"/>
        <v>2098</v>
      </c>
      <c r="O136" s="42"/>
      <c r="P136" s="31"/>
    </row>
    <row r="137" spans="1:18">
      <c r="A137" s="30"/>
      <c r="B137" s="31">
        <v>7</v>
      </c>
      <c r="C137" s="42"/>
      <c r="D137" s="42"/>
      <c r="E137" s="42"/>
      <c r="F137" s="42"/>
      <c r="G137" s="42"/>
      <c r="H137" s="50"/>
      <c r="I137" s="42">
        <f>MIN(H132:H136)+CoutCmde</f>
        <v>1516</v>
      </c>
      <c r="J137" s="42">
        <f t="shared" si="62"/>
        <v>1564</v>
      </c>
      <c r="K137" s="42">
        <f t="shared" si="62"/>
        <v>1588</v>
      </c>
      <c r="L137" s="42">
        <f t="shared" si="62"/>
        <v>1894</v>
      </c>
      <c r="M137" s="42">
        <f t="shared" si="62"/>
        <v>1894</v>
      </c>
      <c r="N137" s="42">
        <f t="shared" si="62"/>
        <v>2194</v>
      </c>
      <c r="O137" s="42"/>
      <c r="P137" s="31"/>
    </row>
    <row r="138" spans="1:18">
      <c r="A138" s="30"/>
      <c r="B138" s="31">
        <v>8</v>
      </c>
      <c r="C138" s="42"/>
      <c r="D138" s="42"/>
      <c r="E138" s="42"/>
      <c r="F138" s="42"/>
      <c r="G138" s="42"/>
      <c r="H138" s="50"/>
      <c r="I138" s="42"/>
      <c r="J138" s="42">
        <f>MIN(I132:I137)+CoutCmde</f>
        <v>1666</v>
      </c>
      <c r="K138" s="42">
        <f t="shared" si="62"/>
        <v>1678</v>
      </c>
      <c r="L138" s="42">
        <f t="shared" si="62"/>
        <v>1882</v>
      </c>
      <c r="M138" s="42">
        <f t="shared" si="62"/>
        <v>1882</v>
      </c>
      <c r="N138" s="42">
        <f t="shared" si="62"/>
        <v>2122</v>
      </c>
      <c r="O138" s="42"/>
      <c r="P138" s="31"/>
    </row>
    <row r="139" spans="1:18">
      <c r="A139" s="30"/>
      <c r="B139" s="31">
        <v>9</v>
      </c>
      <c r="C139" s="42"/>
      <c r="D139" s="42"/>
      <c r="E139" s="42"/>
      <c r="F139" s="42"/>
      <c r="G139" s="42"/>
      <c r="H139" s="50"/>
      <c r="I139" s="50"/>
      <c r="J139" s="50"/>
      <c r="K139" s="42">
        <f>MIN(J132:J138)+CoutCmde</f>
        <v>1794</v>
      </c>
      <c r="L139" s="42">
        <f t="shared" si="62"/>
        <v>1896</v>
      </c>
      <c r="M139" s="42">
        <f t="shared" si="62"/>
        <v>1896</v>
      </c>
      <c r="N139" s="42">
        <f t="shared" si="62"/>
        <v>2076</v>
      </c>
      <c r="O139" s="42"/>
      <c r="P139" s="31"/>
    </row>
    <row r="140" spans="1:18">
      <c r="A140" s="30"/>
      <c r="B140" s="31">
        <v>10</v>
      </c>
      <c r="C140" s="42"/>
      <c r="D140" s="42"/>
      <c r="E140" s="42"/>
      <c r="F140" s="42"/>
      <c r="G140" s="42"/>
      <c r="H140" s="50"/>
      <c r="I140" s="50"/>
      <c r="J140" s="42"/>
      <c r="K140" s="42"/>
      <c r="L140" s="50">
        <f>MIN(K136:K139)+CoutCmde</f>
        <v>1830</v>
      </c>
      <c r="M140" s="50">
        <f>L140+(COLUMN()-2-$B140)*M$131*PrixA3*TauxDet</f>
        <v>1830</v>
      </c>
      <c r="N140" s="75">
        <f>M140+(COLUMN()-2-$B140)*N$131*PrixA3*TauxDet</f>
        <v>1950</v>
      </c>
      <c r="O140" s="42"/>
      <c r="P140" s="31"/>
    </row>
    <row r="141" spans="1:18">
      <c r="A141" s="30"/>
      <c r="B141" s="31">
        <v>11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31"/>
    </row>
    <row r="142" spans="1:18">
      <c r="A142" s="30"/>
      <c r="B142" s="31">
        <v>12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>
        <f>MIN(M132:M140)+CoutCmde</f>
        <v>2238</v>
      </c>
      <c r="O142" s="42"/>
      <c r="P142" s="31"/>
    </row>
    <row r="143" spans="1:18">
      <c r="A143" s="27" t="s">
        <v>61</v>
      </c>
      <c r="B143" s="28"/>
      <c r="C143" s="28"/>
      <c r="D143" s="28">
        <f>SUM(D131:G131)</f>
        <v>1080</v>
      </c>
      <c r="E143" s="28"/>
      <c r="F143" s="28"/>
      <c r="G143" s="28"/>
      <c r="H143" s="28">
        <f>SUM(H131:K131)</f>
        <v>1180</v>
      </c>
      <c r="I143" s="28"/>
      <c r="J143" s="28"/>
      <c r="K143" s="28"/>
      <c r="L143" s="28">
        <f>SUM(L131:N131)</f>
        <v>1080</v>
      </c>
      <c r="M143" s="28"/>
      <c r="N143" s="28"/>
      <c r="O143" s="28"/>
      <c r="P143" s="29"/>
    </row>
    <row r="144" spans="1:18">
      <c r="A144" s="30" t="s">
        <v>53</v>
      </c>
      <c r="F144" s="4">
        <f t="shared" ref="F144:P144" si="64">D143</f>
        <v>1080</v>
      </c>
      <c r="G144" s="4">
        <f t="shared" si="64"/>
        <v>0</v>
      </c>
      <c r="H144" s="4">
        <f t="shared" si="64"/>
        <v>0</v>
      </c>
      <c r="I144" s="4">
        <f t="shared" si="64"/>
        <v>0</v>
      </c>
      <c r="J144" s="4">
        <f t="shared" si="64"/>
        <v>1180</v>
      </c>
      <c r="K144" s="4">
        <f t="shared" si="64"/>
        <v>0</v>
      </c>
      <c r="L144" s="4">
        <f t="shared" si="64"/>
        <v>0</v>
      </c>
      <c r="M144" s="4">
        <f t="shared" si="64"/>
        <v>0</v>
      </c>
      <c r="N144" s="4">
        <f t="shared" si="64"/>
        <v>1080</v>
      </c>
      <c r="O144" s="4">
        <f t="shared" si="64"/>
        <v>0</v>
      </c>
      <c r="P144" s="31">
        <f t="shared" si="64"/>
        <v>0</v>
      </c>
    </row>
    <row r="145" spans="1:16">
      <c r="A145" s="30" t="s">
        <v>30</v>
      </c>
      <c r="F145" s="4">
        <f>E145+F144-F130</f>
        <v>600</v>
      </c>
      <c r="G145" s="4">
        <f t="shared" ref="G145:O145" si="65">F145+G144-G130</f>
        <v>480</v>
      </c>
      <c r="H145" s="4">
        <f t="shared" si="65"/>
        <v>40</v>
      </c>
      <c r="I145" s="4">
        <f t="shared" si="65"/>
        <v>0</v>
      </c>
      <c r="J145" s="4">
        <f t="shared" si="65"/>
        <v>600</v>
      </c>
      <c r="K145" s="4">
        <f t="shared" si="65"/>
        <v>400</v>
      </c>
      <c r="L145" s="4">
        <f t="shared" si="65"/>
        <v>80</v>
      </c>
      <c r="M145" s="4">
        <f t="shared" si="65"/>
        <v>0</v>
      </c>
      <c r="N145" s="4">
        <f t="shared" si="65"/>
        <v>400</v>
      </c>
      <c r="O145" s="4">
        <f t="shared" si="65"/>
        <v>400</v>
      </c>
      <c r="P145" s="31">
        <f>O145+P144-P130</f>
        <v>0</v>
      </c>
    </row>
    <row r="146" spans="1:16">
      <c r="A146" s="44" t="s">
        <v>54</v>
      </c>
      <c r="B146" s="43"/>
      <c r="C146" s="43"/>
      <c r="D146" s="43"/>
      <c r="E146" s="43"/>
      <c r="F146" s="43">
        <f>F145*$E$11*$E$7</f>
        <v>90</v>
      </c>
      <c r="G146" s="43">
        <f>G145*$E$11*$E$7</f>
        <v>72</v>
      </c>
      <c r="H146" s="43">
        <f t="shared" ref="H146:P146" si="66">H145*$C$11*$E$7</f>
        <v>9</v>
      </c>
      <c r="I146" s="43">
        <f t="shared" si="66"/>
        <v>0</v>
      </c>
      <c r="J146" s="43">
        <f t="shared" si="66"/>
        <v>135</v>
      </c>
      <c r="K146" s="43">
        <f t="shared" si="66"/>
        <v>90</v>
      </c>
      <c r="L146" s="43">
        <f t="shared" si="66"/>
        <v>18</v>
      </c>
      <c r="M146" s="43">
        <f t="shared" si="66"/>
        <v>0</v>
      </c>
      <c r="N146" s="43">
        <f t="shared" si="66"/>
        <v>90</v>
      </c>
      <c r="O146" s="43">
        <f t="shared" si="66"/>
        <v>90</v>
      </c>
      <c r="P146" s="45">
        <f t="shared" si="66"/>
        <v>0</v>
      </c>
    </row>
    <row r="147" spans="1:16">
      <c r="A147" s="4" t="s">
        <v>4</v>
      </c>
      <c r="E147" s="4">
        <f>COUNTIF(D143:N143,"&gt;0")*CoutCmde</f>
        <v>1500</v>
      </c>
      <c r="G147" s="4" t="s">
        <v>55</v>
      </c>
      <c r="K147" s="4">
        <f>SUM(E146:P146)</f>
        <v>594</v>
      </c>
      <c r="M147" s="4" t="s">
        <v>19</v>
      </c>
      <c r="O147" s="4">
        <f>E147+K147</f>
        <v>2094</v>
      </c>
    </row>
    <row r="148" spans="1:16">
      <c r="A148" s="4" t="s">
        <v>56</v>
      </c>
      <c r="E148" s="4">
        <f>COUNTIF(D131:N131,"&gt;0")*CoutCmde</f>
        <v>5000</v>
      </c>
      <c r="M148" s="3" t="s">
        <v>57</v>
      </c>
      <c r="N148" s="3"/>
      <c r="O148" s="3">
        <f>E148-O147</f>
        <v>2906</v>
      </c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7" fitToHeight="0" orientation="landscape" horizontalDpi="4294967292" verticalDpi="4294967292" r:id="rId1"/>
  <headerFooter alignWithMargins="0">
    <oddHeader>&amp;F</oddHeader>
    <oddFooter>Page &amp;P</oddFooter>
  </headerFooter>
  <rowBreaks count="3" manualBreakCount="3">
    <brk id="24" max="65535" man="1"/>
    <brk id="58" max="65535" man="1"/>
    <brk id="12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PFSA</vt:lpstr>
      <vt:lpstr>Stocks</vt:lpstr>
      <vt:lpstr>Valeur des stocks</vt:lpstr>
      <vt:lpstr>Charge</vt:lpstr>
      <vt:lpstr>CoutCmde</vt:lpstr>
      <vt:lpstr>PrixA1</vt:lpstr>
      <vt:lpstr>PrixA2</vt:lpstr>
      <vt:lpstr>PrixA3</vt:lpstr>
      <vt:lpstr>TauxDet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cp:lastPrinted>1999-03-10T10:48:09Z</cp:lastPrinted>
  <dcterms:created xsi:type="dcterms:W3CDTF">2002-10-09T09:14:03Z</dcterms:created>
  <dcterms:modified xsi:type="dcterms:W3CDTF">2016-02-01T11:04:54Z</dcterms:modified>
</cp:coreProperties>
</file>